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entralesupelec.sharepoint.com/sites/coursCOSTWG4TEAbusbar/Documents partages/General/3rd HTS school HTS power cable/TEA_HTS_cable_MUSSO_QUEVAL_for_students/"/>
    </mc:Choice>
  </mc:AlternateContent>
  <xr:revisionPtr revIDLastSave="3174" documentId="8_{0741C0A9-D867-4FA3-8919-7357A7525CE9}" xr6:coauthVersionLast="47" xr6:coauthVersionMax="47" xr10:uidLastSave="{C4F49B99-73B0-4D14-9991-3E18EA56B57F}"/>
  <bookViews>
    <workbookView xWindow="-108" yWindow="-108" windowWidth="23256" windowHeight="12576" tabRatio="759" activeTab="2" xr2:uid="{00000000-000D-0000-FFFF-FFFF00000000}"/>
  </bookViews>
  <sheets>
    <sheet name="1-Goal and scope definition" sheetId="1" r:id="rId1"/>
    <sheet name="2-Inventory analysis-HTS" sheetId="2" r:id="rId2"/>
    <sheet name="3.0-HTS Cable design" sheetId="6" r:id="rId3"/>
    <sheet name="3-Calculation of indicators" sheetId="7" r:id="rId4"/>
    <sheet name="4-Interpretation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" i="6" l="1"/>
  <c r="P121" i="7"/>
  <c r="J121" i="7"/>
  <c r="N121" i="7" s="1"/>
  <c r="P120" i="7"/>
  <c r="N120" i="7"/>
  <c r="J120" i="7"/>
  <c r="P119" i="7"/>
  <c r="N119" i="7"/>
  <c r="J119" i="7"/>
  <c r="P118" i="7"/>
  <c r="J118" i="7"/>
  <c r="N118" i="7" s="1"/>
  <c r="P117" i="7"/>
  <c r="N117" i="7"/>
  <c r="J117" i="7"/>
  <c r="P116" i="7"/>
  <c r="J116" i="7"/>
  <c r="N116" i="7" s="1"/>
  <c r="P115" i="7"/>
  <c r="N115" i="7"/>
  <c r="J115" i="7"/>
  <c r="P114" i="7"/>
  <c r="J114" i="7"/>
  <c r="N114" i="7" s="1"/>
  <c r="P113" i="7"/>
  <c r="J113" i="7"/>
  <c r="N113" i="7" s="1"/>
  <c r="P112" i="7"/>
  <c r="N112" i="7"/>
  <c r="J112" i="7"/>
  <c r="P111" i="7"/>
  <c r="J111" i="7"/>
  <c r="N111" i="7" s="1"/>
  <c r="P110" i="7"/>
  <c r="N110" i="7"/>
  <c r="J110" i="7"/>
  <c r="P109" i="7"/>
  <c r="J109" i="7"/>
  <c r="N109" i="7" s="1"/>
  <c r="P108" i="7"/>
  <c r="N108" i="7"/>
  <c r="J108" i="7"/>
  <c r="P107" i="7"/>
  <c r="N107" i="7"/>
  <c r="J107" i="7"/>
  <c r="P106" i="7"/>
  <c r="J106" i="7"/>
  <c r="N106" i="7" s="1"/>
  <c r="P105" i="7"/>
  <c r="N105" i="7"/>
  <c r="J105" i="7"/>
  <c r="P104" i="7"/>
  <c r="J104" i="7"/>
  <c r="N104" i="7" s="1"/>
  <c r="P103" i="7"/>
  <c r="N103" i="7"/>
  <c r="J103" i="7"/>
  <c r="P102" i="7"/>
  <c r="J102" i="7"/>
  <c r="N102" i="7" s="1"/>
  <c r="P101" i="7"/>
  <c r="J101" i="7"/>
  <c r="N101" i="7" s="1"/>
  <c r="P100" i="7"/>
  <c r="N100" i="7"/>
  <c r="J100" i="7"/>
  <c r="P99" i="7"/>
  <c r="J99" i="7"/>
  <c r="N99" i="7" s="1"/>
  <c r="P98" i="7"/>
  <c r="N98" i="7"/>
  <c r="J98" i="7"/>
  <c r="P97" i="7"/>
  <c r="J97" i="7"/>
  <c r="N97" i="7" s="1"/>
  <c r="P96" i="7"/>
  <c r="N96" i="7"/>
  <c r="J96" i="7"/>
  <c r="P95" i="7"/>
  <c r="N95" i="7"/>
  <c r="J95" i="7"/>
  <c r="P94" i="7"/>
  <c r="J94" i="7"/>
  <c r="N94" i="7" s="1"/>
  <c r="P93" i="7"/>
  <c r="N93" i="7"/>
  <c r="J93" i="7"/>
  <c r="P92" i="7"/>
  <c r="J92" i="7"/>
  <c r="N92" i="7" s="1"/>
  <c r="P91" i="7"/>
  <c r="N91" i="7"/>
  <c r="J91" i="7"/>
  <c r="P90" i="7"/>
  <c r="J90" i="7"/>
  <c r="N90" i="7" s="1"/>
  <c r="P89" i="7"/>
  <c r="J89" i="7"/>
  <c r="N89" i="7" s="1"/>
  <c r="P88" i="7"/>
  <c r="N88" i="7"/>
  <c r="J88" i="7"/>
  <c r="P87" i="7"/>
  <c r="J87" i="7"/>
  <c r="N87" i="7" s="1"/>
  <c r="P86" i="7"/>
  <c r="N86" i="7"/>
  <c r="J86" i="7"/>
  <c r="P85" i="7"/>
  <c r="J85" i="7"/>
  <c r="N85" i="7" s="1"/>
  <c r="P84" i="7"/>
  <c r="N84" i="7"/>
  <c r="J84" i="7"/>
  <c r="P83" i="7"/>
  <c r="N83" i="7"/>
  <c r="J83" i="7"/>
  <c r="J82" i="7"/>
  <c r="J123" i="7" s="1"/>
  <c r="D69" i="7"/>
  <c r="D67" i="7"/>
  <c r="D65" i="7"/>
  <c r="D63" i="7"/>
  <c r="D61" i="7"/>
  <c r="D55" i="7"/>
  <c r="D54" i="7"/>
  <c r="D46" i="7"/>
  <c r="D39" i="7"/>
  <c r="D37" i="7"/>
  <c r="D36" i="7"/>
  <c r="D35" i="7"/>
  <c r="D33" i="7"/>
  <c r="D25" i="7"/>
  <c r="D23" i="7"/>
  <c r="D18" i="7"/>
  <c r="D150" i="2"/>
  <c r="D11" i="2"/>
  <c r="N82" i="7" l="1"/>
  <c r="N123" i="7" s="1"/>
  <c r="D72" i="7" s="1"/>
  <c r="D9" i="6"/>
  <c r="P20" i="6"/>
  <c r="P32" i="6"/>
  <c r="J8" i="6"/>
  <c r="J6" i="6"/>
  <c r="P29" i="6"/>
  <c r="P28" i="6"/>
  <c r="D7" i="6"/>
  <c r="D43" i="6"/>
  <c r="D20" i="6"/>
  <c r="D10" i="6"/>
  <c r="D8" i="6"/>
  <c r="J28" i="6" s="1"/>
  <c r="D6" i="6"/>
  <c r="D11" i="6"/>
  <c r="P21" i="6" l="1"/>
  <c r="V21" i="6"/>
  <c r="V23" i="6" s="1"/>
  <c r="V25" i="6" s="1"/>
  <c r="V22" i="6"/>
  <c r="V24" i="6" s="1"/>
  <c r="V37" i="6" s="1"/>
  <c r="D12" i="6"/>
  <c r="D23" i="6"/>
  <c r="D30" i="2"/>
  <c r="D29" i="2"/>
  <c r="D22" i="7" l="1"/>
  <c r="P63" i="6"/>
  <c r="P71" i="6" s="1"/>
  <c r="D16" i="6"/>
  <c r="D15" i="6"/>
  <c r="D14" i="6"/>
  <c r="D13" i="6"/>
  <c r="D26" i="6"/>
  <c r="D23" i="2"/>
  <c r="P24" i="6" s="1"/>
  <c r="V38" i="6"/>
  <c r="P60" i="6"/>
  <c r="P30" i="6"/>
  <c r="P31" i="6"/>
  <c r="D31" i="2" l="1"/>
  <c r="D34" i="7"/>
  <c r="D24" i="7"/>
  <c r="D26" i="7"/>
  <c r="P33" i="6"/>
  <c r="P37" i="6" s="1"/>
  <c r="D27" i="6"/>
  <c r="D24" i="2"/>
  <c r="P25" i="6" s="1"/>
  <c r="D32" i="2" s="1"/>
  <c r="D7" i="7" l="1"/>
  <c r="P41" i="6"/>
  <c r="D51" i="2"/>
  <c r="D28" i="6"/>
  <c r="D29" i="6" s="1"/>
  <c r="P34" i="6"/>
  <c r="P38" i="6" s="1"/>
  <c r="P42" i="6" s="1"/>
  <c r="P48" i="6" l="1"/>
  <c r="P51" i="6" s="1"/>
  <c r="D52" i="2"/>
  <c r="D30" i="6"/>
  <c r="D11" i="7" l="1"/>
  <c r="D31" i="6"/>
  <c r="D25" i="2"/>
  <c r="P26" i="6" s="1"/>
  <c r="D33" i="2" l="1"/>
  <c r="P35" i="6"/>
  <c r="P39" i="6" s="1"/>
  <c r="P43" i="6" s="1"/>
  <c r="D32" i="6"/>
  <c r="D33" i="6" s="1"/>
  <c r="D53" i="2"/>
  <c r="D8" i="7" l="1"/>
  <c r="P49" i="6"/>
  <c r="P52" i="6" s="1"/>
  <c r="D54" i="2"/>
  <c r="D34" i="6"/>
  <c r="D12" i="7" l="1"/>
  <c r="D35" i="6"/>
  <c r="D26" i="2"/>
  <c r="P27" i="6" s="1"/>
  <c r="D34" i="2" l="1"/>
  <c r="P36" i="6"/>
  <c r="P40" i="6" s="1"/>
  <c r="P44" i="6" s="1"/>
  <c r="P45" i="6" s="1"/>
  <c r="D36" i="6"/>
  <c r="D37" i="6" s="1"/>
  <c r="D55" i="2"/>
  <c r="D9" i="7" l="1"/>
  <c r="D50" i="7" s="1"/>
  <c r="P50" i="6"/>
  <c r="P53" i="6" s="1"/>
  <c r="P54" i="6" s="1"/>
  <c r="P69" i="6" s="1"/>
  <c r="D56" i="2"/>
  <c r="D38" i="6"/>
  <c r="V27" i="6" l="1"/>
  <c r="D31" i="7" s="1"/>
  <c r="D16" i="7"/>
  <c r="D13" i="7"/>
  <c r="D52" i="7" s="1"/>
  <c r="D40" i="6"/>
  <c r="D41" i="2"/>
  <c r="D21" i="7" l="1"/>
  <c r="D29" i="7" s="1"/>
  <c r="D42" i="2"/>
  <c r="D42" i="6"/>
  <c r="V29" i="6"/>
  <c r="V31" i="6" s="1"/>
  <c r="V33" i="6" s="1"/>
  <c r="D10" i="7" l="1"/>
  <c r="D51" i="7" s="1"/>
  <c r="D44" i="6"/>
  <c r="D67" i="2"/>
  <c r="D45" i="6" l="1"/>
  <c r="D47" i="6" s="1"/>
  <c r="P57" i="6" s="1"/>
  <c r="D68" i="2"/>
  <c r="D14" i="7" l="1"/>
  <c r="D53" i="7" s="1"/>
  <c r="P66" i="6"/>
  <c r="P70" i="6"/>
  <c r="D17" i="7" s="1"/>
  <c r="D20" i="7" l="1"/>
  <c r="D28" i="7" s="1"/>
  <c r="D19" i="7"/>
  <c r="V28" i="6"/>
  <c r="D32" i="7" s="1"/>
  <c r="D57" i="7" l="1"/>
  <c r="D74" i="7" s="1"/>
  <c r="L82" i="7" s="1"/>
  <c r="D27" i="7"/>
  <c r="V30" i="6"/>
  <c r="V32" i="6" s="1"/>
  <c r="D38" i="7" s="1"/>
  <c r="I96" i="7" l="1"/>
  <c r="I104" i="7"/>
  <c r="I106" i="7"/>
  <c r="I115" i="7"/>
  <c r="I113" i="7"/>
  <c r="I101" i="7"/>
  <c r="I92" i="7"/>
  <c r="I94" i="7"/>
  <c r="I121" i="7"/>
  <c r="I100" i="7"/>
  <c r="I89" i="7"/>
  <c r="I114" i="7"/>
  <c r="I111" i="7"/>
  <c r="I102" i="7"/>
  <c r="I97" i="7"/>
  <c r="I103" i="7"/>
  <c r="I99" i="7"/>
  <c r="I91" i="7"/>
  <c r="I119" i="7"/>
  <c r="I105" i="7"/>
  <c r="I116" i="7"/>
  <c r="I107" i="7"/>
  <c r="I88" i="7"/>
  <c r="I90" i="7"/>
  <c r="I117" i="7"/>
  <c r="I87" i="7"/>
  <c r="I120" i="7"/>
  <c r="I108" i="7"/>
  <c r="I85" i="7"/>
  <c r="I118" i="7"/>
  <c r="I93" i="7"/>
  <c r="I95" i="7"/>
  <c r="I110" i="7"/>
  <c r="I84" i="7"/>
  <c r="I83" i="7"/>
  <c r="I98" i="7"/>
  <c r="I82" i="7"/>
  <c r="I112" i="7"/>
  <c r="I86" i="7"/>
  <c r="I109" i="7"/>
  <c r="L123" i="7"/>
  <c r="P82" i="7"/>
  <c r="P123" i="7" s="1"/>
  <c r="D75" i="7" s="1"/>
  <c r="V34" i="6"/>
  <c r="D41" i="7" s="1"/>
  <c r="K87" i="7" l="1"/>
  <c r="M87" i="7"/>
  <c r="O87" i="7" s="1"/>
  <c r="I123" i="7"/>
  <c r="K82" i="7"/>
  <c r="M82" i="7"/>
  <c r="K96" i="7"/>
  <c r="M96" i="7"/>
  <c r="O96" i="7" s="1"/>
  <c r="K114" i="7"/>
  <c r="M114" i="7"/>
  <c r="O114" i="7" s="1"/>
  <c r="M89" i="7"/>
  <c r="O89" i="7" s="1"/>
  <c r="K89" i="7"/>
  <c r="M107" i="7"/>
  <c r="O107" i="7" s="1"/>
  <c r="K107" i="7"/>
  <c r="M110" i="7"/>
  <c r="O110" i="7" s="1"/>
  <c r="K110" i="7"/>
  <c r="D43" i="7"/>
  <c r="D42" i="7"/>
  <c r="D44" i="7"/>
  <c r="D45" i="7"/>
  <c r="M95" i="7"/>
  <c r="O95" i="7" s="1"/>
  <c r="K95" i="7"/>
  <c r="K105" i="7"/>
  <c r="M105" i="7"/>
  <c r="O105" i="7" s="1"/>
  <c r="K94" i="7"/>
  <c r="M94" i="7"/>
  <c r="O94" i="7" s="1"/>
  <c r="M104" i="7"/>
  <c r="O104" i="7" s="1"/>
  <c r="K104" i="7"/>
  <c r="M117" i="7"/>
  <c r="O117" i="7" s="1"/>
  <c r="K117" i="7"/>
  <c r="M90" i="7"/>
  <c r="O90" i="7" s="1"/>
  <c r="K90" i="7"/>
  <c r="M121" i="7"/>
  <c r="O121" i="7" s="1"/>
  <c r="K121" i="7"/>
  <c r="M91" i="7"/>
  <c r="O91" i="7" s="1"/>
  <c r="K91" i="7"/>
  <c r="M85" i="7"/>
  <c r="O85" i="7" s="1"/>
  <c r="K85" i="7"/>
  <c r="M99" i="7"/>
  <c r="O99" i="7" s="1"/>
  <c r="K99" i="7"/>
  <c r="K113" i="7"/>
  <c r="M113" i="7"/>
  <c r="O113" i="7" s="1"/>
  <c r="K112" i="7"/>
  <c r="M112" i="7"/>
  <c r="O112" i="7" s="1"/>
  <c r="K102" i="7"/>
  <c r="M102" i="7"/>
  <c r="O102" i="7" s="1"/>
  <c r="K111" i="7"/>
  <c r="M111" i="7"/>
  <c r="O111" i="7" s="1"/>
  <c r="M98" i="7"/>
  <c r="O98" i="7" s="1"/>
  <c r="K98" i="7"/>
  <c r="K83" i="7"/>
  <c r="M83" i="7"/>
  <c r="O83" i="7" s="1"/>
  <c r="K88" i="7"/>
  <c r="M88" i="7"/>
  <c r="O88" i="7" s="1"/>
  <c r="M84" i="7"/>
  <c r="O84" i="7" s="1"/>
  <c r="K84" i="7"/>
  <c r="K100" i="7"/>
  <c r="M100" i="7"/>
  <c r="O100" i="7" s="1"/>
  <c r="M116" i="7"/>
  <c r="O116" i="7" s="1"/>
  <c r="K116" i="7"/>
  <c r="K93" i="7"/>
  <c r="M93" i="7"/>
  <c r="O93" i="7" s="1"/>
  <c r="M92" i="7"/>
  <c r="O92" i="7" s="1"/>
  <c r="K92" i="7"/>
  <c r="M101" i="7"/>
  <c r="O101" i="7" s="1"/>
  <c r="K101" i="7"/>
  <c r="K109" i="7"/>
  <c r="M109" i="7"/>
  <c r="O109" i="7" s="1"/>
  <c r="M108" i="7"/>
  <c r="O108" i="7" s="1"/>
  <c r="K108" i="7"/>
  <c r="M103" i="7"/>
  <c r="O103" i="7" s="1"/>
  <c r="K103" i="7"/>
  <c r="M115" i="7"/>
  <c r="O115" i="7" s="1"/>
  <c r="K115" i="7"/>
  <c r="M119" i="7"/>
  <c r="O119" i="7" s="1"/>
  <c r="K119" i="7"/>
  <c r="K118" i="7"/>
  <c r="M118" i="7"/>
  <c r="O118" i="7" s="1"/>
  <c r="M86" i="7"/>
  <c r="O86" i="7" s="1"/>
  <c r="K86" i="7"/>
  <c r="M120" i="7"/>
  <c r="O120" i="7" s="1"/>
  <c r="K120" i="7"/>
  <c r="M97" i="7"/>
  <c r="O97" i="7" s="1"/>
  <c r="K97" i="7"/>
  <c r="K106" i="7"/>
  <c r="M106" i="7"/>
  <c r="O106" i="7" s="1"/>
  <c r="V35" i="6"/>
  <c r="D40" i="7" l="1"/>
  <c r="K123" i="7"/>
  <c r="O82" i="7"/>
  <c r="M123" i="7"/>
  <c r="D59" i="7" l="1"/>
  <c r="O123" i="7"/>
  <c r="D77" i="7" s="1"/>
  <c r="D7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Musso Andrea (RSE)</author>
  </authors>
  <commentList>
    <comment ref="D12" authorId="0" shapeId="0" xr:uid="{AA59107D-5040-47CF-B99D-7282263E7852}">
      <text>
        <r>
          <rPr>
            <b/>
            <sz val="9"/>
            <color indexed="81"/>
            <rFont val="Tahoma"/>
            <family val="2"/>
          </rPr>
          <t>Musso Andrea (RSE):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Musso Andrea (RSE)</author>
  </authors>
  <commentList>
    <comment ref="D9" authorId="0" shapeId="0" xr:uid="{64393ACD-C2A5-400B-82CA-E0AE65DE1BD9}">
      <text>
        <r>
          <rPr>
            <b/>
            <sz val="9"/>
            <color indexed="81"/>
            <rFont val="Tahoma"/>
            <family val="2"/>
          </rPr>
          <t>Musso Andrea (RSE):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<sst xmlns="http://schemas.openxmlformats.org/spreadsheetml/2006/main" count="1164" uniqueCount="632">
  <si>
    <t>Transmission link between solar plant and substation</t>
  </si>
  <si>
    <t>Phase 1: Goal and scope definition</t>
  </si>
  <si>
    <t>Goal</t>
  </si>
  <si>
    <t>Product system</t>
  </si>
  <si>
    <t>HTS cable system</t>
  </si>
  <si>
    <t>Intended application and reasons for study</t>
  </si>
  <si>
    <t>Brief description</t>
  </si>
  <si>
    <t>Intended audience</t>
  </si>
  <si>
    <t>Comissioners and assessors</t>
  </si>
  <si>
    <t>Limitations of study</t>
  </si>
  <si>
    <t>Scope</t>
  </si>
  <si>
    <t>System boundary</t>
  </si>
  <si>
    <t>Benchmark system</t>
  </si>
  <si>
    <t>Plant size</t>
  </si>
  <si>
    <t>750 MW</t>
  </si>
  <si>
    <t>Functional unit</t>
  </si>
  <si>
    <t>System elements and technology maturity</t>
  </si>
  <si>
    <t>Performance indicators</t>
  </si>
  <si>
    <t>Life cycle cost (LCC)</t>
  </si>
  <si>
    <t>Time horizon</t>
  </si>
  <si>
    <t>40 years</t>
  </si>
  <si>
    <t>Location</t>
  </si>
  <si>
    <t>8 hours a day</t>
  </si>
  <si>
    <t>Phase 2: Inventory analysis</t>
  </si>
  <si>
    <t>Technical parameter</t>
  </si>
  <si>
    <t>Symbol</t>
  </si>
  <si>
    <t>Units</t>
  </si>
  <si>
    <t>Comment</t>
  </si>
  <si>
    <t>A</t>
  </si>
  <si>
    <t>m</t>
  </si>
  <si>
    <t>Economic parameter</t>
  </si>
  <si>
    <t>CAPEX</t>
  </si>
  <si>
    <t>€</t>
  </si>
  <si>
    <t>Other Info</t>
  </si>
  <si>
    <t>OPEX</t>
  </si>
  <si>
    <t>Energy cost</t>
  </si>
  <si>
    <t>c_en</t>
  </si>
  <si>
    <t>Nb of full load hours per year</t>
  </si>
  <si>
    <t>nhpy</t>
  </si>
  <si>
    <t>LCC</t>
  </si>
  <si>
    <t>T</t>
  </si>
  <si>
    <t>years</t>
  </si>
  <si>
    <t>Discount rate</t>
  </si>
  <si>
    <t>r</t>
  </si>
  <si>
    <t>HTS system MAIN FEATURES</t>
  </si>
  <si>
    <t>HTS system</t>
  </si>
  <si>
    <t>Line length</t>
  </si>
  <si>
    <t>L_line</t>
  </si>
  <si>
    <t>Technical model legend</t>
  </si>
  <si>
    <t>Power delivered by each cable</t>
  </si>
  <si>
    <t>P</t>
  </si>
  <si>
    <t>W</t>
  </si>
  <si>
    <t>Maximum Power for 1 cable = 750 MW</t>
  </si>
  <si>
    <t>Cable design parameter set by user (eventually modifiable)</t>
  </si>
  <si>
    <t>Voltage level rms of each cable</t>
  </si>
  <si>
    <t>Vrms</t>
  </si>
  <si>
    <t>V</t>
  </si>
  <si>
    <t>Computed (not to be changed)</t>
  </si>
  <si>
    <t>Load factor</t>
  </si>
  <si>
    <t xml:space="preserve">cosφ </t>
  </si>
  <si>
    <t>Material property set by the user (eventually modifiable)</t>
  </si>
  <si>
    <t>Mean ambient temperature in the installation site</t>
  </si>
  <si>
    <t>Ta</t>
  </si>
  <si>
    <t>K</t>
  </si>
  <si>
    <t>30° C</t>
  </si>
  <si>
    <t>Frequency</t>
  </si>
  <si>
    <t>f</t>
  </si>
  <si>
    <t>Hz</t>
  </si>
  <si>
    <t>Economic model legend</t>
  </si>
  <si>
    <t>Set by user (eventually modifiable)</t>
  </si>
  <si>
    <t>HTS tapes</t>
  </si>
  <si>
    <t>Tape width</t>
  </si>
  <si>
    <t>w_HTS</t>
  </si>
  <si>
    <t>Mean HTS temperature in the cable, for all phases (tentative)</t>
  </si>
  <si>
    <t>T_HTS</t>
  </si>
  <si>
    <t>Critical current of the tape at 77 K and s.f.</t>
  </si>
  <si>
    <t>Ic_HTS_77K</t>
  </si>
  <si>
    <t>Safety value of I_tape/Ic_HTS not to be passed</t>
  </si>
  <si>
    <t>safety_HTS</t>
  </si>
  <si>
    <t>N° of HTS layers in phase 1</t>
  </si>
  <si>
    <t>nl_1</t>
  </si>
  <si>
    <t>N° of HTS layers in phase 2</t>
  </si>
  <si>
    <t>nl_2</t>
  </si>
  <si>
    <t>N° of HTS layers in phase 3</t>
  </si>
  <si>
    <t>nl_3</t>
  </si>
  <si>
    <t>Inner radius of HTS layer 1 - phase 1</t>
  </si>
  <si>
    <t>RHTS_1_1</t>
  </si>
  <si>
    <t>Inner radius of HTS layer 2 - phase 1</t>
  </si>
  <si>
    <t>RHTS_2_1</t>
  </si>
  <si>
    <t>Inner radius of HTS layer 1 - phase 2</t>
  </si>
  <si>
    <t>RHTS_1_2</t>
  </si>
  <si>
    <t>Inner radius of HTS layer 1 - phase 3</t>
  </si>
  <si>
    <t>RHTS_1_3</t>
  </si>
  <si>
    <t>Twist angle of HTS layer 1 - phase 1</t>
  </si>
  <si>
    <r>
      <rPr>
        <b/>
        <sz val="11"/>
        <color theme="1"/>
        <rFont val="Calibri"/>
        <family val="2"/>
      </rPr>
      <t>α</t>
    </r>
    <r>
      <rPr>
        <b/>
        <i/>
        <sz val="11"/>
        <color theme="1"/>
        <rFont val="Calibri"/>
        <family val="2"/>
      </rPr>
      <t>1_1</t>
    </r>
  </si>
  <si>
    <t>°</t>
  </si>
  <si>
    <t>Twist angle of HTS layer 2 - phase 1</t>
  </si>
  <si>
    <t>α2_1</t>
  </si>
  <si>
    <t>Twist angle of HTS layer 1 - phase 2</t>
  </si>
  <si>
    <r>
      <rPr>
        <b/>
        <sz val="11"/>
        <color theme="1"/>
        <rFont val="Calibri"/>
        <family val="2"/>
      </rPr>
      <t>α</t>
    </r>
    <r>
      <rPr>
        <b/>
        <i/>
        <sz val="11"/>
        <color theme="1"/>
        <rFont val="Calibri"/>
        <family val="2"/>
      </rPr>
      <t>1_2</t>
    </r>
  </si>
  <si>
    <t>Twist angle of HTS layer 1 - phase 3</t>
  </si>
  <si>
    <r>
      <rPr>
        <b/>
        <sz val="11"/>
        <color theme="1"/>
        <rFont val="Calibri"/>
        <family val="2"/>
      </rPr>
      <t>α</t>
    </r>
    <r>
      <rPr>
        <b/>
        <i/>
        <sz val="11"/>
        <color theme="1"/>
        <rFont val="Calibri"/>
        <family val="2"/>
      </rPr>
      <t>1_3</t>
    </r>
  </si>
  <si>
    <t>n° of HTS tapes in layer 1 - phase 1</t>
  </si>
  <si>
    <t>Tapes_1_1</t>
  </si>
  <si>
    <t>Tapes_1_1 = round[2 * π * RHTS_1_1 * cos (α1_1) / w_HTS]</t>
  </si>
  <si>
    <t>n° of HTS tapes in layer 2 - phase 1</t>
  </si>
  <si>
    <t>Tapes_2_1</t>
  </si>
  <si>
    <t>Tapes_2_1 = round[2 * π * RHTS_2_1 * cos (α2_1) / w_HTS]</t>
  </si>
  <si>
    <t>n° of HTS tapes in layer 1 - phase 2</t>
  </si>
  <si>
    <t>Tapes_1_2</t>
  </si>
  <si>
    <t>Tapes_1_2 = round[2 * π * RHTS_1_2 * cos (α1_2) / w_HTS]</t>
  </si>
  <si>
    <t>n° of HTS tapes in layer 1 - phase 3</t>
  </si>
  <si>
    <t>Tapes_1_3</t>
  </si>
  <si>
    <t>Tapes_1_3 = round[2 * π * RHTS_1_3 * cos (α1_3) / w_HTS]</t>
  </si>
  <si>
    <t>HTS tape cost per unit of length</t>
  </si>
  <si>
    <t>c_HTS</t>
  </si>
  <si>
    <t>€/m</t>
  </si>
  <si>
    <t>Copper</t>
  </si>
  <si>
    <t>Inner radius of copper neutral layer</t>
  </si>
  <si>
    <t>R_int_neutral</t>
  </si>
  <si>
    <t>Outer radius of copper neutral layer</t>
  </si>
  <si>
    <t>R_ext_neutral</t>
  </si>
  <si>
    <t>Eddy current loss per unit of length and unit of current</t>
  </si>
  <si>
    <t>q_eddy</t>
  </si>
  <si>
    <t>mW/(kA*m)</t>
  </si>
  <si>
    <t>Copper density</t>
  </si>
  <si>
    <t>ρ_Cu</t>
  </si>
  <si>
    <t>kg/m3</t>
  </si>
  <si>
    <t>Copper cost per unit of weight</t>
  </si>
  <si>
    <t>c_Cu</t>
  </si>
  <si>
    <t>€/kg</t>
  </si>
  <si>
    <t>Insulation</t>
  </si>
  <si>
    <t>Inner radius of insulating layer between phase 1 and phase 2</t>
  </si>
  <si>
    <t>R_int_ins_1</t>
  </si>
  <si>
    <t>Outer radius of insulating layer between phase 1 and phase 2</t>
  </si>
  <si>
    <t>R_ext_ins_1</t>
  </si>
  <si>
    <t>Inner radius of insulating layer between phase 2 and phase 3</t>
  </si>
  <si>
    <t>R_int_ins_2</t>
  </si>
  <si>
    <t>Outer radius of insulating layer between phase 2 and phase 3</t>
  </si>
  <si>
    <t>R_ext_ins_2</t>
  </si>
  <si>
    <t>Inner radius of insulating layer outside phase 3</t>
  </si>
  <si>
    <t>R_int_ins_3</t>
  </si>
  <si>
    <t>Outer radius of insulating layer outside phase 3</t>
  </si>
  <si>
    <t>R_ext_ins_3</t>
  </si>
  <si>
    <t>Loss tangent</t>
  </si>
  <si>
    <t>tand_ins</t>
  </si>
  <si>
    <t>Relative permettivity</t>
  </si>
  <si>
    <t>ε_ins</t>
  </si>
  <si>
    <t>Insulation density</t>
  </si>
  <si>
    <t>ρ_ins</t>
  </si>
  <si>
    <t>0.9 ton/m3</t>
  </si>
  <si>
    <t>Insulation cost per unit of weight</t>
  </si>
  <si>
    <t>c_ins</t>
  </si>
  <si>
    <t>LN2 and cooling channels</t>
  </si>
  <si>
    <t>Former radius</t>
  </si>
  <si>
    <t>Rformer</t>
  </si>
  <si>
    <t>Inner radius of the annular gap</t>
  </si>
  <si>
    <t>R_int_annulus</t>
  </si>
  <si>
    <t>Outer radius of the annular gap</t>
  </si>
  <si>
    <t>R_ext_annulus</t>
  </si>
  <si>
    <t>Roughness of the inner surface of the former</t>
  </si>
  <si>
    <t>ε_former</t>
  </si>
  <si>
    <t>Roughness of the inner surface of the annular gap</t>
  </si>
  <si>
    <t>ε_annulus</t>
  </si>
  <si>
    <t>Height difference between the two ends of each cable section</t>
  </si>
  <si>
    <t>Δh</t>
  </si>
  <si>
    <t>LN2 heat capacity</t>
  </si>
  <si>
    <t>cp_LN2</t>
  </si>
  <si>
    <t>J/kg*K</t>
  </si>
  <si>
    <t>LN2 dynamic viscosity</t>
  </si>
  <si>
    <t>𝜇_LN2</t>
  </si>
  <si>
    <t>Pa∙s</t>
  </si>
  <si>
    <t>LN2 density</t>
  </si>
  <si>
    <t>ρ_LN2</t>
  </si>
  <si>
    <t>kg on liter ratio for LN2</t>
  </si>
  <si>
    <t>kg_l_LN2</t>
  </si>
  <si>
    <t>kg/l</t>
  </si>
  <si>
    <t xml:space="preserve">LN2 temperature at the beginning of each cable section </t>
  </si>
  <si>
    <t>T_0</t>
  </si>
  <si>
    <t>Mean LN2 temperature in the annular gap (tentative)</t>
  </si>
  <si>
    <t>T_annulus</t>
  </si>
  <si>
    <t>Maximum temperature rise allowed for the LN2 in both ducts</t>
  </si>
  <si>
    <t>ΔT_LN2_max</t>
  </si>
  <si>
    <t>Maximum pressure drop allowed for the LN2 in both ducts</t>
  </si>
  <si>
    <t>ΔP_LN2_max</t>
  </si>
  <si>
    <t>bar</t>
  </si>
  <si>
    <t>Annular gap thickness</t>
  </si>
  <si>
    <t>t_annulus</t>
  </si>
  <si>
    <t>mm</t>
  </si>
  <si>
    <t>LN2 mass flow rate</t>
  </si>
  <si>
    <t>m_LN2</t>
  </si>
  <si>
    <t>kg/s</t>
  </si>
  <si>
    <t>LN2 cost per liter</t>
  </si>
  <si>
    <t>c_LN2</t>
  </si>
  <si>
    <t>€/l</t>
  </si>
  <si>
    <t>Cryostat</t>
  </si>
  <si>
    <t>Effective thermal conductivity of the cryostat</t>
  </si>
  <si>
    <t>λ_cryo</t>
  </si>
  <si>
    <t>W/m K</t>
  </si>
  <si>
    <t>Cryostat cost per unit of length</t>
  </si>
  <si>
    <t>c_cryo</t>
  </si>
  <si>
    <t>€/km</t>
  </si>
  <si>
    <t>Terminations</t>
  </si>
  <si>
    <t>N° of terminations (both cable ends)</t>
  </si>
  <si>
    <t>n_term</t>
  </si>
  <si>
    <t>Loss for each termination per unit of current</t>
  </si>
  <si>
    <t>q_term</t>
  </si>
  <si>
    <t>W/kA</t>
  </si>
  <si>
    <t>Terminations costs</t>
  </si>
  <si>
    <t>C_term</t>
  </si>
  <si>
    <t>Cooling stations</t>
  </si>
  <si>
    <t>n° of intermediate cooling stations</t>
  </si>
  <si>
    <t>nstat</t>
  </si>
  <si>
    <t>Crycoolers efficiency</t>
  </si>
  <si>
    <t>η_cryo</t>
  </si>
  <si>
    <t>Pumps efficiency</t>
  </si>
  <si>
    <t>η_p</t>
  </si>
  <si>
    <t>Fixed costs for each cooling station</t>
  </si>
  <si>
    <t>c_cool_fixed</t>
  </si>
  <si>
    <t>Costs per unit of power of cryocoolers</t>
  </si>
  <si>
    <t>c_cool_var</t>
  </si>
  <si>
    <t>€/W</t>
  </si>
  <si>
    <t xml:space="preserve">Mark-up to consider possible heat peaks </t>
  </si>
  <si>
    <t>𝛽q</t>
  </si>
  <si>
    <t>10% of mark-up</t>
  </si>
  <si>
    <t xml:space="preserve">Mark-up for the devices with no parametric cost function </t>
  </si>
  <si>
    <t>𝛽r</t>
  </si>
  <si>
    <t>Land</t>
  </si>
  <si>
    <t>Radius from the cable where Bfield &lt; 6 μT</t>
  </si>
  <si>
    <t>R_field</t>
  </si>
  <si>
    <t>Computed from magnetic field calculations</t>
  </si>
  <si>
    <t>Land cost per unit of surface</t>
  </si>
  <si>
    <t>c_land</t>
  </si>
  <si>
    <t>€/m2</t>
  </si>
  <si>
    <t>Cabling</t>
  </si>
  <si>
    <t>Cabling cost per unit of length</t>
  </si>
  <si>
    <t>c_cab</t>
  </si>
  <si>
    <t>Vacuum system</t>
  </si>
  <si>
    <t xml:space="preserve">Vacuum system costs per unit of length </t>
  </si>
  <si>
    <t>c_vac</t>
  </si>
  <si>
    <t>Maintenance</t>
  </si>
  <si>
    <t>Maintenance costs per unit of length and per year</t>
  </si>
  <si>
    <t>c_maint</t>
  </si>
  <si>
    <t>€/km/year</t>
  </si>
  <si>
    <t>Dismantling</t>
  </si>
  <si>
    <t>Dismantling costs per unit of length</t>
  </si>
  <si>
    <t>c_dism</t>
  </si>
  <si>
    <t>Other costs per unit of length</t>
  </si>
  <si>
    <t>c_other</t>
  </si>
  <si>
    <t>€/kWh</t>
  </si>
  <si>
    <t>hours</t>
  </si>
  <si>
    <t>8 hours a day in a year</t>
  </si>
  <si>
    <t>Phase 2.5: Compute cable design, losses and constraints</t>
  </si>
  <si>
    <t>Constants</t>
  </si>
  <si>
    <t>Vacuum permeability</t>
  </si>
  <si>
    <t>μ0</t>
  </si>
  <si>
    <t>H/m</t>
  </si>
  <si>
    <t>Gravitational constant</t>
  </si>
  <si>
    <t>g</t>
  </si>
  <si>
    <t>m/s^2</t>
  </si>
  <si>
    <t>Dielectric constant of vacuum</t>
  </si>
  <si>
    <t>ε0</t>
  </si>
  <si>
    <t>C^2/(N*m^2)</t>
  </si>
  <si>
    <t>load factor</t>
  </si>
  <si>
    <t>Rms value of the total current in each phase</t>
  </si>
  <si>
    <t>Irms_phase</t>
  </si>
  <si>
    <t>Irms_phase = P / (Vrms *√3  * cosφ)</t>
  </si>
  <si>
    <t>Rms value of the current in HTS layer 1 - phase 1</t>
  </si>
  <si>
    <t>Irms_1_1</t>
  </si>
  <si>
    <t>Rms value of the current in HTS layer 1 - phase 2</t>
  </si>
  <si>
    <t>Irms_1_2</t>
  </si>
  <si>
    <t>Rms value of the current in HTS layer 1 - phase 3</t>
  </si>
  <si>
    <t>Irms_1_3</t>
  </si>
  <si>
    <t>Rms value of the current in HTS layer 1 - phase 4</t>
  </si>
  <si>
    <t>Cable design in cascade</t>
  </si>
  <si>
    <t>Insulation thickness  parameters</t>
  </si>
  <si>
    <t>Constraints calculation</t>
  </si>
  <si>
    <t>k1_im</t>
  </si>
  <si>
    <t>Velocity of LN2 into the former</t>
  </si>
  <si>
    <t>v_LN2_former</t>
  </si>
  <si>
    <t>m/s</t>
  </si>
  <si>
    <t>Thickness of the former</t>
  </si>
  <si>
    <t>t_f</t>
  </si>
  <si>
    <t>k2_im</t>
  </si>
  <si>
    <t>Distance between adjacent cooling statio</t>
  </si>
  <si>
    <t>dstat</t>
  </si>
  <si>
    <t>dstat = L_line / (nstat + 1)</t>
  </si>
  <si>
    <t>Velocity of LN2 into the annular gap</t>
  </si>
  <si>
    <t>v_LN2_annulus</t>
  </si>
  <si>
    <t>Thickness of the levelling layer between former and innermost HTS layer</t>
  </si>
  <si>
    <t>t_lev</t>
  </si>
  <si>
    <t>k3_im</t>
  </si>
  <si>
    <t>AC losses in HTS tapes</t>
  </si>
  <si>
    <t>Reynolds number for LN2 in the former</t>
  </si>
  <si>
    <t>Re_LN2_former</t>
  </si>
  <si>
    <t>RHTS_1_1 = Rformer + t_f + t_lev</t>
  </si>
  <si>
    <t>V_im</t>
  </si>
  <si>
    <t>Reynolds number for LN2 in the annular gap</t>
  </si>
  <si>
    <t>Re_LN2_annulus</t>
  </si>
  <si>
    <t>Thickness of HTS tapes</t>
  </si>
  <si>
    <t>t_HTS</t>
  </si>
  <si>
    <t>E_im</t>
  </si>
  <si>
    <t>V/m</t>
  </si>
  <si>
    <t>Friction factor for LN2 in the former</t>
  </si>
  <si>
    <t>f_LN2_former</t>
  </si>
  <si>
    <t>Thickness of layer between HTS layers of the same phase</t>
  </si>
  <si>
    <t>t_k</t>
  </si>
  <si>
    <t>k1_AC</t>
  </si>
  <si>
    <t>Friction factor for LN2 in the annular gap</t>
  </si>
  <si>
    <t>f_LN2_annulus</t>
  </si>
  <si>
    <t>RHTS_2_1 = RHTS_1_1 + t_HTS + t_k</t>
  </si>
  <si>
    <t>k2_AC</t>
  </si>
  <si>
    <t>Temperature rise</t>
  </si>
  <si>
    <t>R_int_ins_1 = RHTS_2_1 + t_HTS</t>
  </si>
  <si>
    <t>k3_AC</t>
  </si>
  <si>
    <t>Temperature rise for LN2 in the former</t>
  </si>
  <si>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</rPr>
      <t>T_LN2_former</t>
    </r>
  </si>
  <si>
    <t xml:space="preserve">Thickness of insulating layer between phase 1 and phase 2 </t>
  </si>
  <si>
    <t>t_ins_1</t>
  </si>
  <si>
    <t>from insulation parameters and line voltage</t>
  </si>
  <si>
    <t>V_AC</t>
  </si>
  <si>
    <t>Temperature rise for LN2 in the annular gap</t>
  </si>
  <si>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</rPr>
      <t>T_LN2_annulus</t>
    </r>
  </si>
  <si>
    <t>R_ext_ins_1 = R_int_ins_1 + t_ins_1</t>
  </si>
  <si>
    <t>E_AC</t>
  </si>
  <si>
    <t>Maximum temperature for LN2 in the former</t>
  </si>
  <si>
    <t>T_max_LN2_former</t>
  </si>
  <si>
    <t>RHTS_1_2 = R_ext_ins_1</t>
  </si>
  <si>
    <t>Maximum temperature for LN2 in the annular gap</t>
  </si>
  <si>
    <t>T_max_LN2_annulus</t>
  </si>
  <si>
    <t>R_int_ins_2 = RHTS_1_2 + t_HTS</t>
  </si>
  <si>
    <t>Mean temperature for LN2 in the former</t>
  </si>
  <si>
    <t>T_former</t>
  </si>
  <si>
    <t>t_ins_2</t>
  </si>
  <si>
    <t>Critical current of HTS tapes at T_HTS (mean temperature)</t>
  </si>
  <si>
    <t>Ic_HTS_T_HTS</t>
  </si>
  <si>
    <t>Mean temperature for LN2 in the annular gap</t>
  </si>
  <si>
    <t>R_ext_ins_2 = R_int_ins_2 + t_ins_2</t>
  </si>
  <si>
    <t>F_ratio of HTS tapes in layer 1 - phase 1</t>
  </si>
  <si>
    <t>F_1_1</t>
  </si>
  <si>
    <t>Temperature of HTS tapes at left side of a cable segment</t>
  </si>
  <si>
    <t>T_HTS_left</t>
  </si>
  <si>
    <t>RHTS_1_3 = R_ext_ins_2</t>
  </si>
  <si>
    <t>F_ratio of HTS tapes in layer 2 - phase 1</t>
  </si>
  <si>
    <t>F_2_1</t>
  </si>
  <si>
    <t>Temperature of HTS tapes at right side of a cable segment</t>
  </si>
  <si>
    <t>T_HTS_right</t>
  </si>
  <si>
    <t>R_int_ins_3 = RHTS_1_3 + t_HTS</t>
  </si>
  <si>
    <t>F_ratio of HTS tapes in layer 1 - phase 2</t>
  </si>
  <si>
    <t>F_1_2</t>
  </si>
  <si>
    <t>Mean HTS temperature in the cable, for all phases</t>
  </si>
  <si>
    <t>Thickness of insulating layer outside phase 3</t>
  </si>
  <si>
    <t>t_ins_3</t>
  </si>
  <si>
    <t>F_ratio of HTS tapes in layer 1 - phase 3</t>
  </si>
  <si>
    <t>F_1_3</t>
  </si>
  <si>
    <t>Pressure drop</t>
  </si>
  <si>
    <t>R_ext_ins_3 = R_int_ins_3 + t_ins_3</t>
  </si>
  <si>
    <t>ξ of HTS tapes in layer 1 - phase 1</t>
  </si>
  <si>
    <t>ξ_1_1</t>
  </si>
  <si>
    <t>Pressure drop for LN2 in the former  [Pa]</t>
  </si>
  <si>
    <r>
      <rPr>
        <b/>
        <sz val="11"/>
        <color theme="1"/>
        <rFont val="Calibri"/>
        <family val="2"/>
      </rPr>
      <t>ΔP</t>
    </r>
    <r>
      <rPr>
        <b/>
        <i/>
        <sz val="11"/>
        <color theme="1"/>
        <rFont val="Calibri"/>
        <family val="2"/>
      </rPr>
      <t>_LN2_former</t>
    </r>
  </si>
  <si>
    <t>Pa</t>
  </si>
  <si>
    <t>Copper layer inner radius</t>
  </si>
  <si>
    <t>R_int_neutral = R_int_neutral</t>
  </si>
  <si>
    <t>ξ of HTS tapes in layer 2 - phase 1</t>
  </si>
  <si>
    <t>ξ_2_1</t>
  </si>
  <si>
    <t>Pressure drop for LN2 in the annular gap  [Pa]</t>
  </si>
  <si>
    <r>
      <rPr>
        <b/>
        <sz val="11"/>
        <color theme="1"/>
        <rFont val="Calibri"/>
        <family val="2"/>
      </rPr>
      <t>ΔP</t>
    </r>
    <r>
      <rPr>
        <b/>
        <i/>
        <sz val="11"/>
        <color theme="1"/>
        <rFont val="Calibri"/>
        <family val="2"/>
      </rPr>
      <t>_LN2_annulus</t>
    </r>
  </si>
  <si>
    <t>Thickness of copper neutral layer</t>
  </si>
  <si>
    <t>t_n</t>
  </si>
  <si>
    <t>ξ of HTS tapes in layer 1 - phase 2</t>
  </si>
  <si>
    <t>ξ_1_2</t>
  </si>
  <si>
    <t>R_ext_neutral = R_int_neutral + t_n</t>
  </si>
  <si>
    <t>ξ of HTS tapes in layer 1 - phase 3</t>
  </si>
  <si>
    <t>ξ_1_3</t>
  </si>
  <si>
    <t>Thickness of core fixture layer between netrual and annular gap</t>
  </si>
  <si>
    <t>t_c</t>
  </si>
  <si>
    <t>Losses of HTS tapes in layer 1 - phase 1</t>
  </si>
  <si>
    <t>Loss_AC_HTS_1_1</t>
  </si>
  <si>
    <t>R_int_annulus = R_ext_neutral + t_c</t>
  </si>
  <si>
    <t>Losses of HTS tapes in layer 2 - phase 1</t>
  </si>
  <si>
    <t>Loss_AC_HTS_2_1</t>
  </si>
  <si>
    <t>Thickness of the annular gap</t>
  </si>
  <si>
    <t>Losses of HTS tapes in layer 1 - phase 2</t>
  </si>
  <si>
    <t>Loss_AC_HTS_1_2</t>
  </si>
  <si>
    <t>R_ext_annulus = 'R_int_annulus + t_annulus</t>
  </si>
  <si>
    <t>Losses of HTS tapes in layer 1 - phase 3</t>
  </si>
  <si>
    <t>Loss_AC_HTS_1_3</t>
  </si>
  <si>
    <t>Inner radius of the cryostat</t>
  </si>
  <si>
    <t>R_int_cryo</t>
  </si>
  <si>
    <t>R_int_cryo = R_ext_annulus</t>
  </si>
  <si>
    <t>Total AC losses in the HTS tapes of the whole cable</t>
  </si>
  <si>
    <t>Loss_AC_HTS</t>
  </si>
  <si>
    <t xml:space="preserve">Thickness of the cryostat wall </t>
  </si>
  <si>
    <t>t_cryo</t>
  </si>
  <si>
    <t>Insulation losses</t>
  </si>
  <si>
    <t>Outer radius of the cryostat</t>
  </si>
  <si>
    <t>R_ext_cryo</t>
  </si>
  <si>
    <t>R_ext_cryo = R_int_cryo</t>
  </si>
  <si>
    <t>Capacitance of insulating layer between phase 1 and phase 2</t>
  </si>
  <si>
    <t>Capac_1</t>
  </si>
  <si>
    <t>F</t>
  </si>
  <si>
    <t>Capacitance of insulating layer between phase 2 and phase 3</t>
  </si>
  <si>
    <t>Capac_2</t>
  </si>
  <si>
    <t>Capacitance of insulating layer outside phase 3</t>
  </si>
  <si>
    <t>Capac_3</t>
  </si>
  <si>
    <t>Losses of insulating layer between phase 1 and phase 3</t>
  </si>
  <si>
    <t>Loss_ins_1</t>
  </si>
  <si>
    <t>Losses of insulating layer between phase 2 and phase 4</t>
  </si>
  <si>
    <t>Loss_ins_2</t>
  </si>
  <si>
    <t>Losses of insulating layer outside phase 4</t>
  </si>
  <si>
    <t>Loss_ins_3</t>
  </si>
  <si>
    <t>Total losses in the 3 insulating layers</t>
  </si>
  <si>
    <t>Loss_ins</t>
  </si>
  <si>
    <t>Losses from cryostat</t>
  </si>
  <si>
    <t>Total losses from cryostat in the whole cable</t>
  </si>
  <si>
    <t>Loss_cryo</t>
  </si>
  <si>
    <t>Losses due to eddy currents</t>
  </si>
  <si>
    <t>Total losses due to eddy currents  in the whole cable</t>
  </si>
  <si>
    <t>Loss_eddy</t>
  </si>
  <si>
    <t>Losses from the terminations</t>
  </si>
  <si>
    <t>Total losses from the terminations</t>
  </si>
  <si>
    <t>Loss_term</t>
  </si>
  <si>
    <t>Total losses in the whole cable</t>
  </si>
  <si>
    <t>Losses</t>
  </si>
  <si>
    <t>Loss components to LN2 and single terminations</t>
  </si>
  <si>
    <t>Heat input in the LN2 flowing in the former</t>
  </si>
  <si>
    <t>Q_f</t>
  </si>
  <si>
    <t>Heat input in the LN2 flowing in the annular gap</t>
  </si>
  <si>
    <t>Q_an</t>
  </si>
  <si>
    <t>Heat produced by the terminations in a single cable end</t>
  </si>
  <si>
    <t>Q_cl</t>
  </si>
  <si>
    <t>Phase 3: Calculation of indicators</t>
  </si>
  <si>
    <t>Variable</t>
  </si>
  <si>
    <t>MATERIALS</t>
  </si>
  <si>
    <t>HTS tape length for phase 1</t>
  </si>
  <si>
    <t>L_HTS_1</t>
  </si>
  <si>
    <t>L_HTS_1 = (Tapes_1_1 + Tapes_2_1)* L_line / cos(α1_1)</t>
  </si>
  <si>
    <t>HTS tape length for phase 2</t>
  </si>
  <si>
    <t>L_HTS_2</t>
  </si>
  <si>
    <t>L_HTS_2 = Tapes_1_2 * L_line / cos(α1_2)</t>
  </si>
  <si>
    <t>HTS tape length for phase 3</t>
  </si>
  <si>
    <t>L_HTS_3</t>
  </si>
  <si>
    <t>L_HTS_3 = Tapes_1_3 * L_line / cos(α1_3)</t>
  </si>
  <si>
    <t>Volume of the copper for the neutral layer</t>
  </si>
  <si>
    <t>Vol_Cu</t>
  </si>
  <si>
    <t>m3</t>
  </si>
  <si>
    <r>
      <t xml:space="preserve">Vol_Cu = L_line * </t>
    </r>
    <r>
      <rPr>
        <sz val="11"/>
        <color theme="1"/>
        <rFont val="Calibri"/>
        <family val="2"/>
      </rPr>
      <t>π</t>
    </r>
    <r>
      <rPr>
        <i/>
        <sz val="11"/>
        <color theme="1"/>
        <rFont val="Calibri"/>
        <family val="2"/>
      </rPr>
      <t xml:space="preserve"> * (R_ext_neutral^2 - Rint_neutral^2)</t>
    </r>
  </si>
  <si>
    <t>Volume of the insulation between phase 1 and 2</t>
  </si>
  <si>
    <t>Vol_ins_1</t>
  </si>
  <si>
    <t>Vol_ins_1 = =  L_line * π * (R_ext_ins_1^2 - Rint_ins_1^2)</t>
  </si>
  <si>
    <t>Volume of the insulation between phase 2 and 3</t>
  </si>
  <si>
    <t>Vol_ins_2</t>
  </si>
  <si>
    <t>Vol_ins_2 =  L_line * π * (R_ext_ins_2^2 - Rint_ins_2^2)</t>
  </si>
  <si>
    <t>Volume of the insulation outside phase 3</t>
  </si>
  <si>
    <t>Vol_ins_3</t>
  </si>
  <si>
    <t>Vol_ins_3 =  L_line * π * (R_ext_ins_3^2 - Rint_ins_3^2)</t>
  </si>
  <si>
    <t>Volume of LN2 into the whole cable</t>
  </si>
  <si>
    <t>Vol_LN2</t>
  </si>
  <si>
    <t>Vol_LN2 = L_line * π * (R_ext_annulus^2 - Rint_annulus^2 + Rformer^2)</t>
  </si>
  <si>
    <t>COOLING STATIONS</t>
  </si>
  <si>
    <t>kW</t>
  </si>
  <si>
    <t>From loss calculation</t>
  </si>
  <si>
    <t>Heat to be removed by each intermediate cooling station from LN2</t>
  </si>
  <si>
    <t>Q_interm</t>
  </si>
  <si>
    <t>Q_interm = Q_f + Q_an</t>
  </si>
  <si>
    <t>Heat to be removed by left-side cooling station from LN2</t>
  </si>
  <si>
    <t>Q_left</t>
  </si>
  <si>
    <t>Q_left = Q_an + Q_cl</t>
  </si>
  <si>
    <t>Heat to be removed by right-side cooling station from LN2</t>
  </si>
  <si>
    <t>Q_right</t>
  </si>
  <si>
    <t>Q_right = Q_f + Q_cl</t>
  </si>
  <si>
    <t>Pressure drop in the LN2 flowing in the former [Pa]</t>
  </si>
  <si>
    <t>ΔP_LN2_former</t>
  </si>
  <si>
    <t>Pressure drop in the LN2 flowing in the annular gap [Pa]</t>
  </si>
  <si>
    <t>ΔP_LN2_annulus</t>
  </si>
  <si>
    <t>Hydraulic power by each intermediate cooling station</t>
  </si>
  <si>
    <t>Qp_interm</t>
  </si>
  <si>
    <t>Qp_interm = m_LN2 * (ΔP_f + ΔP_an) / ρ_LN2</t>
  </si>
  <si>
    <t>Hydraulic power by left-side cooling station</t>
  </si>
  <si>
    <t>Qp_left</t>
  </si>
  <si>
    <t>Qp_left = m_LN2 * (ΔP_an) / ρ_LN2</t>
  </si>
  <si>
    <t>Hydraulic power by right-side cooling station</t>
  </si>
  <si>
    <t>Qp_right</t>
  </si>
  <si>
    <t>Qp_right = m_LN2 * (ΔP_f) / ρ_LN2</t>
  </si>
  <si>
    <t>Electric power to supply each intermediate cooling station</t>
  </si>
  <si>
    <t>Pel_interm</t>
  </si>
  <si>
    <t>Pel_interm = Q_interm * (Ta - T_0)/(η_cryo * T_0) + (Qp_interm / η_pump)</t>
  </si>
  <si>
    <t>Electric power to supply left-side cooling station</t>
  </si>
  <si>
    <t>Pel_left</t>
  </si>
  <si>
    <t>Pel_left = Q_left * (Ta - T_0)/(η_cryo * T_0) + (Qp_left / η_pump)</t>
  </si>
  <si>
    <t>Electric power to supply right-side cooling station</t>
  </si>
  <si>
    <t>Pel_right</t>
  </si>
  <si>
    <t>Pel_right = Q_right * (Ta - T_0)/(η_cryo * T_0) + (Qp_right / η_pump)</t>
  </si>
  <si>
    <t>VERIFY CONSTRAINTS AND CHECK QUALITY OF TENTATIVE TEMP.S</t>
  </si>
  <si>
    <t xml:space="preserve">Temperature rise in the LN2 flowing in the former </t>
  </si>
  <si>
    <t>ΔT_LN2_former</t>
  </si>
  <si>
    <t xml:space="preserve">Temperature rise in the LN2 flowing in the annular gap </t>
  </si>
  <si>
    <t>ΔT_LN2_annulus</t>
  </si>
  <si>
    <t>Pressure drop in the LN2 flowing in the annular gap [bar]</t>
  </si>
  <si>
    <t>Mean LN2 temperature in the annular gap (TENTATIVE)</t>
  </si>
  <si>
    <t>Mean LN2 temperature in the annular gap (COMPUTED)</t>
  </si>
  <si>
    <t>Mean HTS temperature in the cable (TENTATIVE)</t>
  </si>
  <si>
    <t>Mean HTS temperature in the cable (COMPUTED)</t>
  </si>
  <si>
    <t>Critical current of HTS tapes at maximum temperature</t>
  </si>
  <si>
    <t>Ic_HTS_T_HTS_max</t>
  </si>
  <si>
    <t>Ratio between Imax in HTS tapes and their Ic in layer 1 - phase 1</t>
  </si>
  <si>
    <t>Imax_1_1/Ic_HTS_T_HTS_max</t>
  </si>
  <si>
    <t>Imax_1_1/Ic_HTS_T_HTS_max = (√2 * Irms_1_1 / Tapes_1_1) / Ic_HTS_T_HTS_max</t>
  </si>
  <si>
    <t>Ratio between Imax in HTS tapes and their Ic in layer 2 - phase 1</t>
  </si>
  <si>
    <t>Imax_2_1/Ic_HTS_T_HTS_max</t>
  </si>
  <si>
    <t>Imax_2_1/Ic_HTS_T_HTS_max = (√2 * Irms_2_1 / Tapes_2_1) / Ic_HTS_T_HTS_max</t>
  </si>
  <si>
    <t>Ratio between Imax in HTS tapes and their Ic in layer 1 - phase 2</t>
  </si>
  <si>
    <t>Imax_1_2/Ic_HTS_T_HTS_max</t>
  </si>
  <si>
    <t>Imax_1_2/Ic_HTS_T_HTS_max = (√2 * Irms_1_2 / Tapes_1_2) / Ic_HTS_T_HTS_max</t>
  </si>
  <si>
    <t>Ratio between Imax in HTS tapes and their Ic in layer 1 - phase 3</t>
  </si>
  <si>
    <t>Imax_1_3/Ic_HTS_T_HTS_max</t>
  </si>
  <si>
    <t>Imax_1_3/Ic_HTS_T_HTS_max = (√2 * Irms_1_3 / Tapes_1_3) / Ic_HTS_T_HTS_max</t>
  </si>
  <si>
    <t xml:space="preserve">HTS tape CAPEX </t>
  </si>
  <si>
    <t>M€</t>
  </si>
  <si>
    <t>Copper CAPEX</t>
  </si>
  <si>
    <t>Insulation CAPEX</t>
  </si>
  <si>
    <t>LN2 CAPEX</t>
  </si>
  <si>
    <t>Cryostat CAPEX</t>
  </si>
  <si>
    <t>Terminations CAPEX</t>
  </si>
  <si>
    <t>Cooling stations CAPEX</t>
  </si>
  <si>
    <t>Yearly cooling stations OPEX</t>
  </si>
  <si>
    <t>O_cool_t</t>
  </si>
  <si>
    <t>M€/year</t>
  </si>
  <si>
    <t>Total cooling stations OPEX discounted at t=0</t>
  </si>
  <si>
    <t>LAND</t>
  </si>
  <si>
    <t>Land CAPEX</t>
  </si>
  <si>
    <t>CABLING</t>
  </si>
  <si>
    <t>Cabling CAPEX</t>
  </si>
  <si>
    <t>VACUUM SYSTEM</t>
  </si>
  <si>
    <t>Vacuum system CAPEX</t>
  </si>
  <si>
    <t>DISMANTLING</t>
  </si>
  <si>
    <t>Dismantling CAPEX</t>
  </si>
  <si>
    <t>OTHER COSTS</t>
  </si>
  <si>
    <t>Other costs CAPEX</t>
  </si>
  <si>
    <t>MAINTENANCE</t>
  </si>
  <si>
    <t>Yearly maintenance OPEX</t>
  </si>
  <si>
    <t>O_maint_t</t>
  </si>
  <si>
    <t>Total maintenance OPEX discounted at t=0</t>
  </si>
  <si>
    <t>TOTAL</t>
  </si>
  <si>
    <t>CAPEX_0</t>
  </si>
  <si>
    <t>OPEX_t</t>
  </si>
  <si>
    <t>OPEX_t = O_cool_t + O_maint_t</t>
  </si>
  <si>
    <t>Total operational expenditure discounted at t=0</t>
  </si>
  <si>
    <t>OPEX_0</t>
  </si>
  <si>
    <t>Year</t>
  </si>
  <si>
    <t>SUM FOR 40 YEARS</t>
  </si>
  <si>
    <t>Phase 4: Interpretation</t>
  </si>
  <si>
    <t>Sensitivity analysis</t>
  </si>
  <si>
    <t>Case</t>
  </si>
  <si>
    <t>Conventional cable</t>
  </si>
  <si>
    <t>T = 40 y ; r = 0.05 ; c_en = 0.015 €/kWh ; nhpy = 8h/day ;  c_HTS = 30 €/m ; c_land = 20 €/m2 ; Ic_HTS_77K = 293.7 A (REFERENCE)</t>
  </si>
  <si>
    <t>T = 40 y ; r = 0.0</t>
  </si>
  <si>
    <t xml:space="preserve">T = 25 y ; r = 0.05 </t>
  </si>
  <si>
    <t>c_en = 0.05 €/kWh</t>
  </si>
  <si>
    <t xml:space="preserve">nhpy = 24h/day </t>
  </si>
  <si>
    <t>c_HTS = 10 €/m</t>
  </si>
  <si>
    <t xml:space="preserve">Ic_HTS_77K = 250 A </t>
  </si>
  <si>
    <t>w_HTS = 12 mm (and then multiply by 3 also the critical current and the cost, accordingly)</t>
  </si>
  <si>
    <t>Irms_1_1 = Irms_phase/nl_1</t>
  </si>
  <si>
    <t>Irms_1_2 = Irms_phase/nl_1</t>
  </si>
  <si>
    <t>Irms_1_3 = Irms_phase/nl_2</t>
  </si>
  <si>
    <t>Irms_1_3 = Irms_phase/nl_3</t>
  </si>
  <si>
    <t>see table</t>
  </si>
  <si>
    <t>c_land = 120 €/m2 (and also Bfield &lt; 0.5 μT --&gt; R_field has to be increased)</t>
  </si>
  <si>
    <t>Commissionining, Installation, Civil Eng., Regulation, Accessories</t>
  </si>
  <si>
    <t>Discounted cost</t>
  </si>
  <si>
    <t>C_HTS</t>
  </si>
  <si>
    <t>C_Cu</t>
  </si>
  <si>
    <t>C_ins</t>
  </si>
  <si>
    <t>C_LN2</t>
  </si>
  <si>
    <t>C_cryo</t>
  </si>
  <si>
    <t>C_cool</t>
  </si>
  <si>
    <t>O_cool</t>
  </si>
  <si>
    <t>C_land</t>
  </si>
  <si>
    <t>C_cab</t>
  </si>
  <si>
    <t>C_vac</t>
  </si>
  <si>
    <t>C_dism</t>
  </si>
  <si>
    <t>C_other</t>
  </si>
  <si>
    <t>O_maint</t>
  </si>
  <si>
    <t>Phase-to-phase voltage (rms value)</t>
  </si>
  <si>
    <t>Cost for manufacturing the cable from its constituting elements</t>
  </si>
  <si>
    <t>Number of HTS cable systems running in parallel</t>
  </si>
  <si>
    <t>n_cables</t>
  </si>
  <si>
    <t>Line length for each cable</t>
  </si>
  <si>
    <t>Losses in a single cable system</t>
  </si>
  <si>
    <t>MATERIALS for 1 cable system</t>
  </si>
  <si>
    <t>COOLING STATIONS for 1 cable system</t>
  </si>
  <si>
    <t>NOT Discounted cost</t>
  </si>
  <si>
    <t>Capital expenditure discounted at t=0</t>
  </si>
  <si>
    <t>Capital expenditure (to be discounted)</t>
  </si>
  <si>
    <t>CAPEX_t</t>
  </si>
  <si>
    <t>Yearly operational expenditure (to be discounted)</t>
  </si>
  <si>
    <t>Life cycle cost</t>
  </si>
  <si>
    <t>Comparison with HTS cable system</t>
  </si>
  <si>
    <t>Tutorial HTS school COST ACTION Hi-scale</t>
  </si>
  <si>
    <t>L. Quéval &amp; A. Musso</t>
  </si>
  <si>
    <t>Do not trust the data !</t>
  </si>
  <si>
    <t>Cable system including transformer</t>
  </si>
  <si>
    <t>400 kV underground cable</t>
  </si>
  <si>
    <t>TRL 9</t>
  </si>
  <si>
    <t>Saudi Arabia</t>
  </si>
  <si>
    <t>Operation continuity</t>
  </si>
  <si>
    <t>1.5 GW</t>
  </si>
  <si>
    <t>CAPEX_t = C_HTS + C_Cu + C_ins + C_LN2 + C_cryo + C_term + C_cool + C_land + C_cab + C_vac + C_dism + C_other</t>
  </si>
  <si>
    <t>OPEX_cool = ΣOPEX_cool_t/ (1+r)^t</t>
  </si>
  <si>
    <t>OPEX_maint = ΣOPEX_maint_t/(1+r)^t</t>
  </si>
  <si>
    <t>CAPEX = ΣCAPEX_t/(1+r)^t</t>
  </si>
  <si>
    <t>ΣOPEX_t/(1+r)^t</t>
  </si>
  <si>
    <t>CAPEX + OPEX</t>
  </si>
  <si>
    <t>C_HTS = n_cables * c_HTS * (L_HTS_1 + L_HTS_2 + L_HTS_3)</t>
  </si>
  <si>
    <r>
      <t xml:space="preserve">C_Cu = n_cables * c_Cu * </t>
    </r>
    <r>
      <rPr>
        <sz val="11"/>
        <color theme="1"/>
        <rFont val="Calibri"/>
        <family val="2"/>
      </rPr>
      <t>ρ_</t>
    </r>
    <r>
      <rPr>
        <i/>
        <sz val="11"/>
        <color theme="1"/>
        <rFont val="Calibri"/>
        <family val="2"/>
      </rPr>
      <t>Cu * Vol_Cu</t>
    </r>
  </si>
  <si>
    <t>C_ins = n_cables * c_ins * ρ_ins * (Vol_ins_1 + Vol_ins_2 + Vol_ins_3)</t>
  </si>
  <si>
    <t>C_LN2 = n_cables * c_LN2 * kg_l_LN2 * Vol_LN2</t>
  </si>
  <si>
    <r>
      <t>C_cryo =  n_cables * c_cryo * L_line</t>
    </r>
    <r>
      <rPr>
        <sz val="11"/>
        <color theme="1"/>
        <rFont val="Calibri"/>
        <family val="2"/>
      </rPr>
      <t xml:space="preserve"> [be careful if you are multiplying €/km or €/m by the cable lenght in km or meters]</t>
    </r>
  </si>
  <si>
    <t xml:space="preserve"> n_cables * C_term</t>
  </si>
  <si>
    <r>
      <t xml:space="preserve">C_cool =  n_cables * nstat * [c_cool_fixed + (c_cool_var * Q_interm * </t>
    </r>
    <r>
      <rPr>
        <sz val="11"/>
        <color theme="1"/>
        <rFont val="Calibri"/>
        <family val="2"/>
      </rPr>
      <t>βq * βr)] +  n_cables * [c_cool_fixed + (c_cool_var * Q_left * βq * βr)] +  n_cables *[c_cool_fixed + (c_cool_var * Q_right * βq * βr)]</t>
    </r>
  </si>
  <si>
    <t>O_cool_t =  n_cables * c_en * nhpy * [(nstat * Pel_interm) + Pel_left + Pel_right)]</t>
  </si>
  <si>
    <t>C_land = n_cables * c_land * L_line * (2 * R_field)</t>
  </si>
  <si>
    <t>C_cab =  n_cables * c_cab * L_line</t>
  </si>
  <si>
    <t>C_vac = n_cables * c_vac * L_line</t>
  </si>
  <si>
    <t>C_dism =  n_cables * c_dism * L_line / [(1+r)^T]</t>
  </si>
  <si>
    <t>C_other = n_cables * c_other * L_line</t>
  </si>
  <si>
    <t>OPEX_maint_t = n_cables * c_maint * L_line</t>
  </si>
  <si>
    <r>
      <t>Economic model</t>
    </r>
    <r>
      <rPr>
        <b/>
        <sz val="11"/>
        <color rgb="FFFF0000"/>
        <rFont val="Calibri"/>
        <family val="2"/>
      </rPr>
      <t xml:space="preserve"> for all cables running in parallel</t>
    </r>
  </si>
  <si>
    <r>
      <t xml:space="preserve">Technical model </t>
    </r>
    <r>
      <rPr>
        <b/>
        <sz val="11"/>
        <color rgb="FFFF0000"/>
        <rFont val="Calibri"/>
        <family val="2"/>
      </rPr>
      <t>for a single cable system</t>
    </r>
  </si>
  <si>
    <t>HTS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</si>
</sst>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\ \k\€"/>
    <numFmt numFmtId="165" formatCode="#,##0.00\ \k\€"/>
    <numFmt numFmtId="166" formatCode="&quot;$&quot;#,##0.00_);[Red]\(&quot;$&quot;#,##0.00\)"/>
    <numFmt numFmtId="167" formatCode="0.0"/>
    <numFmt numFmtId="168" formatCode="0.00000"/>
    <numFmt numFmtId="169" formatCode="0.0E+00"/>
    <numFmt numFmtId="170" formatCode="0.000"/>
    <numFmt numFmtId="171" formatCode="0.000E+00"/>
  </numFmts>
  <fonts count="3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0"/>
      <name val="Calibri"/>
    </font>
    <font>
      <sz val="11"/>
      <name val="Calibri"/>
    </font>
    <font>
      <b/>
      <sz val="16"/>
      <color theme="0"/>
      <name val="Calibri"/>
    </font>
    <font>
      <b/>
      <i/>
      <sz val="11"/>
      <color theme="1"/>
      <name val="Calibri"/>
    </font>
    <font>
      <b/>
      <sz val="11"/>
      <color rgb="FFFF0000"/>
      <name val="Calibri"/>
    </font>
    <font>
      <i/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3A3838"/>
        <bgColor rgb="FF3A3838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7F7F7F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7F7F7F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7F7F7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7F7F7F"/>
      </patternFill>
    </fill>
    <fill>
      <patternFill patternType="solid">
        <fgColor theme="0" tint="-0.14999847407452621"/>
        <bgColor rgb="FF7F7F7F"/>
      </patternFill>
    </fill>
    <fill>
      <patternFill patternType="solid">
        <fgColor rgb="FF00B0F0"/>
        <bgColor rgb="FFBFBFBF"/>
      </patternFill>
    </fill>
    <fill>
      <patternFill patternType="solid">
        <fgColor rgb="FFFFC00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1" tint="0.499984740745262"/>
        <bgColor rgb="FF3A3838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2" fillId="3" borderId="2" xfId="0" applyFont="1" applyFill="1" applyBorder="1"/>
    <xf numFmtId="0" fontId="3" fillId="0" borderId="2" xfId="0" applyFont="1" applyBorder="1"/>
    <xf numFmtId="11" fontId="3" fillId="0" borderId="0" xfId="0" applyNumberFormat="1" applyFont="1"/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5" fillId="11" borderId="10" xfId="0" applyFont="1" applyFill="1" applyBorder="1"/>
    <xf numFmtId="0" fontId="7" fillId="11" borderId="2" xfId="0" applyFont="1" applyFill="1" applyBorder="1" applyAlignment="1">
      <alignment horizontal="center" vertical="center"/>
    </xf>
    <xf numFmtId="0" fontId="5" fillId="13" borderId="9" xfId="0" applyFont="1" applyFill="1" applyBorder="1"/>
    <xf numFmtId="0" fontId="7" fillId="13" borderId="1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/>
    </xf>
    <xf numFmtId="0" fontId="2" fillId="9" borderId="13" xfId="0" applyFont="1" applyFill="1" applyBorder="1"/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5" fillId="13" borderId="19" xfId="0" applyFont="1" applyFill="1" applyBorder="1"/>
    <xf numFmtId="0" fontId="12" fillId="13" borderId="20" xfId="0" applyFont="1" applyFill="1" applyBorder="1"/>
    <xf numFmtId="0" fontId="12" fillId="13" borderId="22" xfId="0" applyFont="1" applyFill="1" applyBorder="1"/>
    <xf numFmtId="0" fontId="9" fillId="13" borderId="23" xfId="0" applyFont="1" applyFill="1" applyBorder="1"/>
    <xf numFmtId="0" fontId="13" fillId="13" borderId="22" xfId="0" applyFont="1" applyFill="1" applyBorder="1"/>
    <xf numFmtId="0" fontId="13" fillId="13" borderId="18" xfId="0" applyFont="1" applyFill="1" applyBorder="1"/>
    <xf numFmtId="0" fontId="3" fillId="13" borderId="23" xfId="0" applyFont="1" applyFill="1" applyBorder="1" applyAlignment="1">
      <alignment horizontal="left"/>
    </xf>
    <xf numFmtId="0" fontId="11" fillId="13" borderId="23" xfId="0" applyFont="1" applyFill="1" applyBorder="1" applyAlignment="1">
      <alignment horizontal="left"/>
    </xf>
    <xf numFmtId="0" fontId="3" fillId="13" borderId="26" xfId="0" applyFont="1" applyFill="1" applyBorder="1" applyAlignment="1">
      <alignment horizontal="left"/>
    </xf>
    <xf numFmtId="0" fontId="0" fillId="0" borderId="5" xfId="0" applyBorder="1"/>
    <xf numFmtId="0" fontId="3" fillId="0" borderId="5" xfId="0" applyFont="1" applyBorder="1"/>
    <xf numFmtId="0" fontId="2" fillId="7" borderId="13" xfId="0" applyFont="1" applyFill="1" applyBorder="1"/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5" fillId="11" borderId="27" xfId="0" applyFont="1" applyFill="1" applyBorder="1"/>
    <xf numFmtId="0" fontId="2" fillId="11" borderId="22" xfId="0" applyFont="1" applyFill="1" applyBorder="1"/>
    <xf numFmtId="0" fontId="9" fillId="11" borderId="23" xfId="0" applyFont="1" applyFill="1" applyBorder="1"/>
    <xf numFmtId="0" fontId="12" fillId="11" borderId="22" xfId="0" applyFont="1" applyFill="1" applyBorder="1"/>
    <xf numFmtId="0" fontId="12" fillId="11" borderId="18" xfId="0" applyFont="1" applyFill="1" applyBorder="1"/>
    <xf numFmtId="0" fontId="12" fillId="14" borderId="18" xfId="0" applyFont="1" applyFill="1" applyBorder="1" applyAlignment="1">
      <alignment horizontal="center"/>
    </xf>
    <xf numFmtId="0" fontId="12" fillId="15" borderId="18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left" vertical="center"/>
    </xf>
    <xf numFmtId="0" fontId="14" fillId="13" borderId="23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0" fontId="15" fillId="18" borderId="6" xfId="0" applyFont="1" applyFill="1" applyBorder="1" applyAlignment="1">
      <alignment horizontal="center" vertical="center"/>
    </xf>
    <xf numFmtId="1" fontId="5" fillId="18" borderId="2" xfId="0" applyNumberFormat="1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1" fontId="3" fillId="18" borderId="2" xfId="0" applyNumberFormat="1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/>
    </xf>
    <xf numFmtId="11" fontId="3" fillId="18" borderId="2" xfId="0" applyNumberFormat="1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11" fontId="5" fillId="6" borderId="2" xfId="0" applyNumberFormat="1" applyFont="1" applyFill="1" applyBorder="1" applyAlignment="1">
      <alignment horizontal="center"/>
    </xf>
    <xf numFmtId="0" fontId="15" fillId="19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5" fillId="20" borderId="2" xfId="0" applyFont="1" applyFill="1" applyBorder="1" applyAlignment="1">
      <alignment horizontal="center" vertical="center"/>
    </xf>
    <xf numFmtId="11" fontId="3" fillId="20" borderId="2" xfId="0" applyNumberFormat="1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5" fillId="20" borderId="6" xfId="0" applyFont="1" applyFill="1" applyBorder="1" applyAlignment="1">
      <alignment horizontal="center" vertical="center"/>
    </xf>
    <xf numFmtId="1" fontId="3" fillId="20" borderId="2" xfId="0" applyNumberFormat="1" applyFont="1" applyFill="1" applyBorder="1" applyAlignment="1">
      <alignment horizontal="center"/>
    </xf>
    <xf numFmtId="11" fontId="5" fillId="20" borderId="2" xfId="0" applyNumberFormat="1" applyFont="1" applyFill="1" applyBorder="1" applyAlignment="1">
      <alignment horizontal="center"/>
    </xf>
    <xf numFmtId="164" fontId="19" fillId="18" borderId="28" xfId="0" applyNumberFormat="1" applyFont="1" applyFill="1" applyBorder="1"/>
    <xf numFmtId="164" fontId="3" fillId="20" borderId="28" xfId="0" applyNumberFormat="1" applyFont="1" applyFill="1" applyBorder="1"/>
    <xf numFmtId="164" fontId="3" fillId="6" borderId="28" xfId="0" applyNumberFormat="1" applyFont="1" applyFill="1" applyBorder="1"/>
    <xf numFmtId="0" fontId="12" fillId="6" borderId="29" xfId="0" applyFont="1" applyFill="1" applyBorder="1"/>
    <xf numFmtId="0" fontId="3" fillId="6" borderId="30" xfId="0" applyFont="1" applyFill="1" applyBorder="1" applyAlignment="1">
      <alignment horizontal="left"/>
    </xf>
    <xf numFmtId="0" fontId="12" fillId="18" borderId="29" xfId="0" applyFont="1" applyFill="1" applyBorder="1"/>
    <xf numFmtId="0" fontId="3" fillId="18" borderId="30" xfId="0" applyFont="1" applyFill="1" applyBorder="1" applyAlignment="1">
      <alignment horizontal="left"/>
    </xf>
    <xf numFmtId="0" fontId="12" fillId="20" borderId="29" xfId="0" applyFont="1" applyFill="1" applyBorder="1"/>
    <xf numFmtId="0" fontId="3" fillId="20" borderId="30" xfId="0" applyFont="1" applyFill="1" applyBorder="1" applyAlignment="1">
      <alignment horizontal="left"/>
    </xf>
    <xf numFmtId="0" fontId="3" fillId="20" borderId="30" xfId="0" quotePrefix="1" applyFont="1" applyFill="1" applyBorder="1" applyAlignment="1">
      <alignment horizontal="left"/>
    </xf>
    <xf numFmtId="0" fontId="3" fillId="18" borderId="30" xfId="0" quotePrefix="1" applyFont="1" applyFill="1" applyBorder="1" applyAlignment="1">
      <alignment horizontal="left"/>
    </xf>
    <xf numFmtId="0" fontId="11" fillId="20" borderId="30" xfId="0" quotePrefix="1" applyFont="1" applyFill="1" applyBorder="1" applyAlignment="1">
      <alignment horizontal="left"/>
    </xf>
    <xf numFmtId="0" fontId="12" fillId="19" borderId="29" xfId="0" applyFont="1" applyFill="1" applyBorder="1"/>
    <xf numFmtId="0" fontId="3" fillId="19" borderId="30" xfId="0" applyFont="1" applyFill="1" applyBorder="1" applyAlignment="1">
      <alignment horizontal="left"/>
    </xf>
    <xf numFmtId="9" fontId="3" fillId="6" borderId="30" xfId="0" quotePrefix="1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2" fillId="20" borderId="37" xfId="0" applyFont="1" applyFill="1" applyBorder="1"/>
    <xf numFmtId="0" fontId="15" fillId="20" borderId="11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/>
    </xf>
    <xf numFmtId="0" fontId="11" fillId="20" borderId="38" xfId="0" quotePrefix="1" applyFont="1" applyFill="1" applyBorder="1" applyAlignment="1">
      <alignment horizontal="left"/>
    </xf>
    <xf numFmtId="0" fontId="2" fillId="6" borderId="37" xfId="0" applyFont="1" applyFill="1" applyBorder="1"/>
    <xf numFmtId="0" fontId="1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left"/>
    </xf>
    <xf numFmtId="0" fontId="12" fillId="6" borderId="37" xfId="0" applyFont="1" applyFill="1" applyBorder="1"/>
    <xf numFmtId="0" fontId="11" fillId="6" borderId="38" xfId="0" applyFont="1" applyFill="1" applyBorder="1" applyAlignment="1">
      <alignment horizontal="left"/>
    </xf>
    <xf numFmtId="0" fontId="12" fillId="18" borderId="37" xfId="0" applyFont="1" applyFill="1" applyBorder="1"/>
    <xf numFmtId="0" fontId="15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3" fillId="18" borderId="38" xfId="0" applyFont="1" applyFill="1" applyBorder="1" applyAlignment="1">
      <alignment horizontal="left"/>
    </xf>
    <xf numFmtId="9" fontId="3" fillId="6" borderId="38" xfId="0" quotePrefix="1" applyNumberFormat="1" applyFont="1" applyFill="1" applyBorder="1" applyAlignment="1">
      <alignment horizontal="left"/>
    </xf>
    <xf numFmtId="0" fontId="2" fillId="16" borderId="43" xfId="0" applyFont="1" applyFill="1" applyBorder="1"/>
    <xf numFmtId="0" fontId="2" fillId="16" borderId="12" xfId="0" applyFont="1" applyFill="1" applyBorder="1" applyAlignment="1">
      <alignment horizontal="center"/>
    </xf>
    <xf numFmtId="0" fontId="2" fillId="16" borderId="44" xfId="0" applyFont="1" applyFill="1" applyBorder="1" applyAlignment="1">
      <alignment horizontal="center"/>
    </xf>
    <xf numFmtId="0" fontId="2" fillId="17" borderId="45" xfId="0" applyFont="1" applyFill="1" applyBorder="1"/>
    <xf numFmtId="0" fontId="2" fillId="17" borderId="4" xfId="0" applyFont="1" applyFill="1" applyBorder="1" applyAlignment="1">
      <alignment horizontal="center"/>
    </xf>
    <xf numFmtId="0" fontId="12" fillId="17" borderId="4" xfId="0" applyFont="1" applyFill="1" applyBorder="1" applyAlignment="1">
      <alignment horizontal="center"/>
    </xf>
    <xf numFmtId="0" fontId="2" fillId="17" borderId="46" xfId="0" applyFont="1" applyFill="1" applyBorder="1" applyAlignment="1">
      <alignment horizontal="center"/>
    </xf>
    <xf numFmtId="0" fontId="2" fillId="17" borderId="47" xfId="0" applyFont="1" applyFill="1" applyBorder="1"/>
    <xf numFmtId="0" fontId="2" fillId="17" borderId="3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2" fillId="17" borderId="48" xfId="0" applyFont="1" applyFill="1" applyBorder="1" applyAlignment="1">
      <alignment horizontal="center"/>
    </xf>
    <xf numFmtId="0" fontId="2" fillId="16" borderId="45" xfId="0" applyFont="1" applyFill="1" applyBorder="1"/>
    <xf numFmtId="0" fontId="2" fillId="16" borderId="4" xfId="0" applyFont="1" applyFill="1" applyBorder="1" applyAlignment="1">
      <alignment horizontal="center"/>
    </xf>
    <xf numFmtId="0" fontId="2" fillId="16" borderId="46" xfId="0" applyFont="1" applyFill="1" applyBorder="1" applyAlignment="1">
      <alignment horizontal="center"/>
    </xf>
    <xf numFmtId="0" fontId="2" fillId="16" borderId="49" xfId="0" applyFont="1" applyFill="1" applyBorder="1"/>
    <xf numFmtId="0" fontId="2" fillId="16" borderId="50" xfId="0" applyFont="1" applyFill="1" applyBorder="1" applyAlignment="1">
      <alignment horizontal="center"/>
    </xf>
    <xf numFmtId="0" fontId="14" fillId="11" borderId="23" xfId="0" applyFont="1" applyFill="1" applyBorder="1"/>
    <xf numFmtId="11" fontId="5" fillId="18" borderId="2" xfId="0" applyNumberFormat="1" applyFont="1" applyFill="1" applyBorder="1" applyAlignment="1">
      <alignment horizontal="center"/>
    </xf>
    <xf numFmtId="2" fontId="5" fillId="18" borderId="2" xfId="0" applyNumberFormat="1" applyFont="1" applyFill="1" applyBorder="1" applyAlignment="1">
      <alignment horizontal="center"/>
    </xf>
    <xf numFmtId="0" fontId="12" fillId="20" borderId="37" xfId="0" applyFont="1" applyFill="1" applyBorder="1" applyAlignment="1">
      <alignment horizontal="left" vertical="center"/>
    </xf>
    <xf numFmtId="0" fontId="15" fillId="20" borderId="1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11" fillId="20" borderId="38" xfId="0" applyFont="1" applyFill="1" applyBorder="1" applyAlignment="1">
      <alignment horizontal="left" vertical="center" wrapText="1"/>
    </xf>
    <xf numFmtId="0" fontId="15" fillId="13" borderId="25" xfId="0" applyFont="1" applyFill="1" applyBorder="1" applyAlignment="1">
      <alignment horizontal="center"/>
    </xf>
    <xf numFmtId="170" fontId="3" fillId="0" borderId="2" xfId="0" applyNumberFormat="1" applyFont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2" fillId="23" borderId="22" xfId="0" applyFont="1" applyFill="1" applyBorder="1"/>
    <xf numFmtId="0" fontId="7" fillId="23" borderId="2" xfId="0" applyFont="1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/>
    </xf>
    <xf numFmtId="0" fontId="3" fillId="23" borderId="23" xfId="0" applyFont="1" applyFill="1" applyBorder="1" applyAlignment="1">
      <alignment horizontal="left"/>
    </xf>
    <xf numFmtId="0" fontId="2" fillId="23" borderId="24" xfId="0" applyFont="1" applyFill="1" applyBorder="1"/>
    <xf numFmtId="0" fontId="7" fillId="23" borderId="25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horizontal="center"/>
    </xf>
    <xf numFmtId="0" fontId="3" fillId="23" borderId="25" xfId="0" applyFont="1" applyFill="1" applyBorder="1" applyAlignment="1">
      <alignment horizontal="center"/>
    </xf>
    <xf numFmtId="9" fontId="3" fillId="23" borderId="26" xfId="0" applyNumberFormat="1" applyFont="1" applyFill="1" applyBorder="1" applyAlignment="1">
      <alignment horizontal="left"/>
    </xf>
    <xf numFmtId="0" fontId="11" fillId="23" borderId="2" xfId="0" applyFont="1" applyFill="1" applyBorder="1" applyAlignment="1">
      <alignment horizontal="center"/>
    </xf>
    <xf numFmtId="0" fontId="11" fillId="23" borderId="23" xfId="0" applyFont="1" applyFill="1" applyBorder="1"/>
    <xf numFmtId="0" fontId="3" fillId="23" borderId="23" xfId="0" applyFont="1" applyFill="1" applyBorder="1"/>
    <xf numFmtId="0" fontId="13" fillId="23" borderId="24" xfId="0" applyFont="1" applyFill="1" applyBorder="1"/>
    <xf numFmtId="0" fontId="15" fillId="23" borderId="25" xfId="0" applyFont="1" applyFill="1" applyBorder="1" applyAlignment="1">
      <alignment horizontal="center" vertical="center"/>
    </xf>
    <xf numFmtId="11" fontId="3" fillId="23" borderId="25" xfId="0" applyNumberFormat="1" applyFont="1" applyFill="1" applyBorder="1" applyAlignment="1">
      <alignment horizontal="center" vertical="center"/>
    </xf>
    <xf numFmtId="0" fontId="11" fillId="23" borderId="25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left"/>
    </xf>
    <xf numFmtId="0" fontId="13" fillId="23" borderId="33" xfId="0" applyFont="1" applyFill="1" applyBorder="1"/>
    <xf numFmtId="0" fontId="15" fillId="23" borderId="34" xfId="0" applyFont="1" applyFill="1" applyBorder="1" applyAlignment="1">
      <alignment horizontal="center" vertical="center"/>
    </xf>
    <xf numFmtId="11" fontId="3" fillId="23" borderId="34" xfId="0" applyNumberFormat="1" applyFont="1" applyFill="1" applyBorder="1" applyAlignment="1">
      <alignment horizontal="center" vertical="center"/>
    </xf>
    <xf numFmtId="0" fontId="11" fillId="23" borderId="34" xfId="0" applyFont="1" applyFill="1" applyBorder="1" applyAlignment="1">
      <alignment horizontal="center" vertical="center"/>
    </xf>
    <xf numFmtId="0" fontId="3" fillId="23" borderId="35" xfId="0" applyFont="1" applyFill="1" applyBorder="1" applyAlignment="1">
      <alignment horizontal="left"/>
    </xf>
    <xf numFmtId="0" fontId="12" fillId="23" borderId="33" xfId="0" applyFont="1" applyFill="1" applyBorder="1" applyAlignment="1">
      <alignment horizontal="left" vertical="center"/>
    </xf>
    <xf numFmtId="0" fontId="3" fillId="23" borderId="34" xfId="0" applyFont="1" applyFill="1" applyBorder="1" applyAlignment="1">
      <alignment horizontal="center" vertical="center"/>
    </xf>
    <xf numFmtId="0" fontId="17" fillId="23" borderId="34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left"/>
    </xf>
    <xf numFmtId="0" fontId="12" fillId="23" borderId="29" xfId="0" applyFont="1" applyFill="1" applyBorder="1" applyAlignment="1">
      <alignment horizontal="left" vertical="center"/>
    </xf>
    <xf numFmtId="0" fontId="15" fillId="23" borderId="2" xfId="0" applyFont="1" applyFill="1" applyBorder="1" applyAlignment="1">
      <alignment horizontal="center" vertical="center"/>
    </xf>
    <xf numFmtId="167" fontId="3" fillId="23" borderId="2" xfId="0" applyNumberFormat="1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left" vertical="center" wrapText="1"/>
    </xf>
    <xf numFmtId="167" fontId="3" fillId="23" borderId="34" xfId="0" applyNumberFormat="1" applyFont="1" applyFill="1" applyBorder="1" applyAlignment="1">
      <alignment horizontal="center" vertical="center"/>
    </xf>
    <xf numFmtId="0" fontId="12" fillId="23" borderId="37" xfId="0" applyFont="1" applyFill="1" applyBorder="1" applyAlignment="1">
      <alignment horizontal="left" vertical="center"/>
    </xf>
    <xf numFmtId="0" fontId="15" fillId="23" borderId="1" xfId="0" applyFont="1" applyFill="1" applyBorder="1" applyAlignment="1">
      <alignment horizontal="center" vertical="center"/>
    </xf>
    <xf numFmtId="11" fontId="3" fillId="23" borderId="1" xfId="0" applyNumberFormat="1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left" vertical="center" wrapText="1"/>
    </xf>
    <xf numFmtId="0" fontId="2" fillId="23" borderId="33" xfId="0" applyFont="1" applyFill="1" applyBorder="1" applyAlignment="1">
      <alignment horizontal="left" vertical="center"/>
    </xf>
    <xf numFmtId="0" fontId="7" fillId="23" borderId="34" xfId="0" applyFont="1" applyFill="1" applyBorder="1" applyAlignment="1">
      <alignment horizontal="center" vertical="center"/>
    </xf>
    <xf numFmtId="164" fontId="19" fillId="23" borderId="28" xfId="0" applyNumberFormat="1" applyFont="1" applyFill="1" applyBorder="1"/>
    <xf numFmtId="0" fontId="10" fillId="0" borderId="0" xfId="0" applyFont="1"/>
    <xf numFmtId="0" fontId="12" fillId="0" borderId="0" xfId="0" applyFont="1"/>
    <xf numFmtId="0" fontId="15" fillId="19" borderId="6" xfId="0" applyFont="1" applyFill="1" applyBorder="1" applyAlignment="1">
      <alignment horizontal="center" vertical="center"/>
    </xf>
    <xf numFmtId="11" fontId="5" fillId="19" borderId="2" xfId="0" applyNumberFormat="1" applyFont="1" applyFill="1" applyBorder="1" applyAlignment="1">
      <alignment horizontal="center"/>
    </xf>
    <xf numFmtId="11" fontId="3" fillId="19" borderId="2" xfId="0" applyNumberFormat="1" applyFont="1" applyFill="1" applyBorder="1" applyAlignment="1">
      <alignment horizontal="center"/>
    </xf>
    <xf numFmtId="0" fontId="3" fillId="19" borderId="30" xfId="0" quotePrefix="1" applyFont="1" applyFill="1" applyBorder="1" applyAlignment="1">
      <alignment horizontal="left"/>
    </xf>
    <xf numFmtId="11" fontId="3" fillId="18" borderId="1" xfId="0" applyNumberFormat="1" applyFont="1" applyFill="1" applyBorder="1" applyAlignment="1">
      <alignment horizontal="center"/>
    </xf>
    <xf numFmtId="11" fontId="11" fillId="19" borderId="6" xfId="0" applyNumberFormat="1" applyFont="1" applyFill="1" applyBorder="1" applyAlignment="1">
      <alignment horizontal="center" vertical="center"/>
    </xf>
    <xf numFmtId="0" fontId="15" fillId="19" borderId="8" xfId="0" applyFont="1" applyFill="1" applyBorder="1" applyAlignment="1">
      <alignment horizontal="center" vertical="center"/>
    </xf>
    <xf numFmtId="0" fontId="20" fillId="19" borderId="13" xfId="0" applyFont="1" applyFill="1" applyBorder="1" applyAlignment="1">
      <alignment horizontal="left" vertical="center" wrapText="1" readingOrder="1"/>
    </xf>
    <xf numFmtId="0" fontId="20" fillId="19" borderId="22" xfId="0" applyFont="1" applyFill="1" applyBorder="1" applyAlignment="1">
      <alignment horizontal="left" vertical="center" wrapText="1" readingOrder="1"/>
    </xf>
    <xf numFmtId="0" fontId="12" fillId="19" borderId="22" xfId="0" applyFont="1" applyFill="1" applyBorder="1"/>
    <xf numFmtId="0" fontId="12" fillId="19" borderId="24" xfId="0" applyFont="1" applyFill="1" applyBorder="1"/>
    <xf numFmtId="0" fontId="15" fillId="19" borderId="25" xfId="0" applyFont="1" applyFill="1" applyBorder="1" applyAlignment="1">
      <alignment horizontal="center" vertical="center"/>
    </xf>
    <xf numFmtId="11" fontId="3" fillId="19" borderId="25" xfId="0" applyNumberFormat="1" applyFont="1" applyFill="1" applyBorder="1" applyAlignment="1">
      <alignment horizontal="center"/>
    </xf>
    <xf numFmtId="0" fontId="11" fillId="19" borderId="25" xfId="0" applyFont="1" applyFill="1" applyBorder="1" applyAlignment="1">
      <alignment horizontal="center"/>
    </xf>
    <xf numFmtId="0" fontId="3" fillId="19" borderId="54" xfId="0" quotePrefix="1" applyFont="1" applyFill="1" applyBorder="1" applyAlignment="1">
      <alignment horizontal="left"/>
    </xf>
    <xf numFmtId="0" fontId="21" fillId="19" borderId="8" xfId="0" applyFont="1" applyFill="1" applyBorder="1" applyAlignment="1">
      <alignment horizontal="center" vertical="center"/>
    </xf>
    <xf numFmtId="11" fontId="22" fillId="19" borderId="6" xfId="0" applyNumberFormat="1" applyFont="1" applyFill="1" applyBorder="1" applyAlignment="1">
      <alignment horizontal="center" vertical="center"/>
    </xf>
    <xf numFmtId="0" fontId="22" fillId="19" borderId="2" xfId="0" applyFont="1" applyFill="1" applyBorder="1" applyAlignment="1">
      <alignment horizontal="center"/>
    </xf>
    <xf numFmtId="0" fontId="20" fillId="18" borderId="22" xfId="0" applyFont="1" applyFill="1" applyBorder="1" applyAlignment="1">
      <alignment horizontal="left" vertical="center" wrapText="1" readingOrder="1"/>
    </xf>
    <xf numFmtId="0" fontId="21" fillId="18" borderId="8" xfId="0" applyFont="1" applyFill="1" applyBorder="1" applyAlignment="1">
      <alignment horizontal="center" vertical="center"/>
    </xf>
    <xf numFmtId="11" fontId="22" fillId="18" borderId="6" xfId="0" applyNumberFormat="1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left" vertical="center" wrapText="1" readingOrder="1"/>
    </xf>
    <xf numFmtId="0" fontId="3" fillId="24" borderId="30" xfId="0" applyFont="1" applyFill="1" applyBorder="1" applyAlignment="1">
      <alignment horizontal="left"/>
    </xf>
    <xf numFmtId="0" fontId="20" fillId="24" borderId="22" xfId="0" applyFont="1" applyFill="1" applyBorder="1" applyAlignment="1">
      <alignment horizontal="left" vertical="center" wrapText="1" readingOrder="1"/>
    </xf>
    <xf numFmtId="0" fontId="12" fillId="24" borderId="22" xfId="0" applyFont="1" applyFill="1" applyBorder="1"/>
    <xf numFmtId="11" fontId="11" fillId="24" borderId="2" xfId="0" applyNumberFormat="1" applyFont="1" applyFill="1" applyBorder="1" applyAlignment="1">
      <alignment horizontal="center"/>
    </xf>
    <xf numFmtId="0" fontId="24" fillId="24" borderId="2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left" vertical="center" wrapText="1" readingOrder="1"/>
    </xf>
    <xf numFmtId="0" fontId="17" fillId="24" borderId="14" xfId="0" applyFont="1" applyFill="1" applyBorder="1" applyAlignment="1">
      <alignment horizontal="center" vertical="center" wrapText="1" readingOrder="1"/>
    </xf>
    <xf numFmtId="0" fontId="24" fillId="24" borderId="14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left"/>
    </xf>
    <xf numFmtId="0" fontId="23" fillId="24" borderId="2" xfId="0" applyFont="1" applyFill="1" applyBorder="1" applyAlignment="1">
      <alignment horizontal="left" vertical="center" wrapText="1" readingOrder="1"/>
    </xf>
    <xf numFmtId="0" fontId="17" fillId="24" borderId="2" xfId="0" applyFont="1" applyFill="1" applyBorder="1" applyAlignment="1">
      <alignment horizontal="center" vertical="center" wrapText="1" readingOrder="1"/>
    </xf>
    <xf numFmtId="0" fontId="23" fillId="24" borderId="2" xfId="0" applyFont="1" applyFill="1" applyBorder="1"/>
    <xf numFmtId="11" fontId="17" fillId="24" borderId="2" xfId="0" applyNumberFormat="1" applyFont="1" applyFill="1" applyBorder="1" applyAlignment="1">
      <alignment horizontal="center" vertical="center" wrapText="1" readingOrder="1"/>
    </xf>
    <xf numFmtId="0" fontId="12" fillId="24" borderId="24" xfId="0" applyFont="1" applyFill="1" applyBorder="1"/>
    <xf numFmtId="0" fontId="23" fillId="24" borderId="25" xfId="0" applyFont="1" applyFill="1" applyBorder="1"/>
    <xf numFmtId="11" fontId="17" fillId="24" borderId="25" xfId="0" applyNumberFormat="1" applyFont="1" applyFill="1" applyBorder="1" applyAlignment="1">
      <alignment horizontal="center" vertical="center" wrapText="1" readingOrder="1"/>
    </xf>
    <xf numFmtId="0" fontId="24" fillId="24" borderId="25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left"/>
    </xf>
    <xf numFmtId="167" fontId="5" fillId="6" borderId="2" xfId="0" applyNumberFormat="1" applyFont="1" applyFill="1" applyBorder="1" applyAlignment="1">
      <alignment horizontal="center"/>
    </xf>
    <xf numFmtId="2" fontId="24" fillId="18" borderId="2" xfId="0" applyNumberFormat="1" applyFont="1" applyFill="1" applyBorder="1" applyAlignment="1">
      <alignment horizontal="center"/>
    </xf>
    <xf numFmtId="167" fontId="17" fillId="24" borderId="2" xfId="0" applyNumberFormat="1" applyFont="1" applyFill="1" applyBorder="1" applyAlignment="1">
      <alignment horizontal="center" vertical="center" wrapText="1" readingOrder="1"/>
    </xf>
    <xf numFmtId="0" fontId="23" fillId="24" borderId="2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2" fontId="17" fillId="24" borderId="2" xfId="0" applyNumberFormat="1" applyFont="1" applyFill="1" applyBorder="1" applyAlignment="1">
      <alignment horizontal="center" vertical="center" wrapText="1" readingOrder="1"/>
    </xf>
    <xf numFmtId="168" fontId="17" fillId="24" borderId="2" xfId="0" applyNumberFormat="1" applyFont="1" applyFill="1" applyBorder="1" applyAlignment="1">
      <alignment horizontal="center" vertical="center" wrapText="1" readingOrder="1"/>
    </xf>
    <xf numFmtId="0" fontId="23" fillId="24" borderId="60" xfId="0" applyFont="1" applyFill="1" applyBorder="1" applyAlignment="1">
      <alignment horizontal="left" vertical="center" wrapText="1" readingOrder="1"/>
    </xf>
    <xf numFmtId="0" fontId="23" fillId="17" borderId="56" xfId="0" applyFont="1" applyFill="1" applyBorder="1"/>
    <xf numFmtId="0" fontId="23" fillId="17" borderId="57" xfId="0" applyFont="1" applyFill="1" applyBorder="1" applyAlignment="1">
      <alignment horizontal="center"/>
    </xf>
    <xf numFmtId="0" fontId="23" fillId="17" borderId="58" xfId="0" applyFont="1" applyFill="1" applyBorder="1" applyAlignment="1">
      <alignment horizontal="center"/>
    </xf>
    <xf numFmtId="0" fontId="23" fillId="24" borderId="59" xfId="0" applyFont="1" applyFill="1" applyBorder="1" applyAlignment="1">
      <alignment horizontal="left" vertical="center" wrapText="1" readingOrder="1"/>
    </xf>
    <xf numFmtId="1" fontId="3" fillId="0" borderId="2" xfId="0" applyNumberFormat="1" applyFont="1" applyBorder="1" applyAlignment="1">
      <alignment horizontal="center"/>
    </xf>
    <xf numFmtId="0" fontId="12" fillId="0" borderId="13" xfId="0" applyFont="1" applyBorder="1"/>
    <xf numFmtId="0" fontId="15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quotePrefix="1" applyFont="1" applyBorder="1" applyAlignment="1">
      <alignment horizontal="left"/>
    </xf>
    <xf numFmtId="0" fontId="12" fillId="0" borderId="22" xfId="0" applyFont="1" applyBorder="1"/>
    <xf numFmtId="0" fontId="15" fillId="0" borderId="2" xfId="0" applyFont="1" applyBorder="1" applyAlignment="1">
      <alignment horizontal="center" vertical="center"/>
    </xf>
    <xf numFmtId="0" fontId="11" fillId="0" borderId="23" xfId="0" quotePrefix="1" applyFont="1" applyBorder="1" applyAlignment="1">
      <alignment horizontal="left"/>
    </xf>
    <xf numFmtId="0" fontId="12" fillId="18" borderId="22" xfId="0" applyFont="1" applyFill="1" applyBorder="1"/>
    <xf numFmtId="0" fontId="3" fillId="18" borderId="23" xfId="0" quotePrefix="1" applyFont="1" applyFill="1" applyBorder="1" applyAlignment="1">
      <alignment horizontal="left"/>
    </xf>
    <xf numFmtId="0" fontId="12" fillId="18" borderId="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left"/>
    </xf>
    <xf numFmtId="0" fontId="3" fillId="24" borderId="26" xfId="0" applyFont="1" applyFill="1" applyBorder="1" applyAlignment="1">
      <alignment horizontal="left"/>
    </xf>
    <xf numFmtId="11" fontId="3" fillId="6" borderId="1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/>
    </xf>
    <xf numFmtId="0" fontId="11" fillId="18" borderId="23" xfId="0" applyFont="1" applyFill="1" applyBorder="1" applyAlignment="1">
      <alignment horizontal="left"/>
    </xf>
    <xf numFmtId="0" fontId="12" fillId="18" borderId="24" xfId="0" applyFont="1" applyFill="1" applyBorder="1"/>
    <xf numFmtId="0" fontId="15" fillId="18" borderId="25" xfId="0" applyFont="1" applyFill="1" applyBorder="1" applyAlignment="1">
      <alignment horizontal="center" vertical="center"/>
    </xf>
    <xf numFmtId="2" fontId="5" fillId="18" borderId="25" xfId="0" applyNumberFormat="1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/>
    </xf>
    <xf numFmtId="0" fontId="3" fillId="18" borderId="26" xfId="0" applyFont="1" applyFill="1" applyBorder="1" applyAlignment="1">
      <alignment horizontal="left"/>
    </xf>
    <xf numFmtId="0" fontId="23" fillId="24" borderId="62" xfId="0" applyFont="1" applyFill="1" applyBorder="1" applyAlignment="1">
      <alignment horizontal="left" vertical="center" wrapText="1" readingOrder="1"/>
    </xf>
    <xf numFmtId="0" fontId="23" fillId="24" borderId="28" xfId="0" applyFont="1" applyFill="1" applyBorder="1" applyAlignment="1">
      <alignment horizontal="left" vertical="center" wrapText="1" readingOrder="1"/>
    </xf>
    <xf numFmtId="0" fontId="6" fillId="0" borderId="67" xfId="0" applyFont="1" applyBorder="1"/>
    <xf numFmtId="11" fontId="3" fillId="6" borderId="2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0" borderId="49" xfId="0" applyFont="1" applyBorder="1"/>
    <xf numFmtId="0" fontId="15" fillId="0" borderId="4" xfId="0" applyFont="1" applyBorder="1" applyAlignment="1">
      <alignment horizontal="center" vertical="center"/>
    </xf>
    <xf numFmtId="0" fontId="24" fillId="24" borderId="68" xfId="0" applyFont="1" applyFill="1" applyBorder="1" applyAlignment="1">
      <alignment horizontal="center"/>
    </xf>
    <xf numFmtId="0" fontId="11" fillId="0" borderId="50" xfId="0" quotePrefix="1" applyFont="1" applyBorder="1" applyAlignment="1">
      <alignment horizontal="left"/>
    </xf>
    <xf numFmtId="11" fontId="3" fillId="0" borderId="2" xfId="0" applyNumberFormat="1" applyFont="1" applyBorder="1" applyAlignment="1">
      <alignment horizontal="center"/>
    </xf>
    <xf numFmtId="0" fontId="12" fillId="0" borderId="24" xfId="0" applyFont="1" applyBorder="1"/>
    <xf numFmtId="0" fontId="15" fillId="0" borderId="25" xfId="0" applyFont="1" applyBorder="1" applyAlignment="1">
      <alignment horizontal="center" vertical="center"/>
    </xf>
    <xf numFmtId="0" fontId="11" fillId="0" borderId="26" xfId="0" quotePrefix="1" applyFont="1" applyBorder="1" applyAlignment="1">
      <alignment horizontal="left"/>
    </xf>
    <xf numFmtId="0" fontId="12" fillId="25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17" borderId="24" xfId="0" applyFont="1" applyFill="1" applyBorder="1"/>
    <xf numFmtId="0" fontId="2" fillId="17" borderId="25" xfId="0" applyFont="1" applyFill="1" applyBorder="1" applyAlignment="1">
      <alignment horizontal="center"/>
    </xf>
    <xf numFmtId="0" fontId="12" fillId="17" borderId="25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9" fillId="19" borderId="23" xfId="0" applyFont="1" applyFill="1" applyBorder="1"/>
    <xf numFmtId="0" fontId="12" fillId="19" borderId="13" xfId="0" applyFont="1" applyFill="1" applyBorder="1"/>
    <xf numFmtId="0" fontId="15" fillId="19" borderId="14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/>
    </xf>
    <xf numFmtId="0" fontId="9" fillId="19" borderId="15" xfId="0" applyFont="1" applyFill="1" applyBorder="1"/>
    <xf numFmtId="0" fontId="9" fillId="19" borderId="26" xfId="0" applyFont="1" applyFill="1" applyBorder="1"/>
    <xf numFmtId="0" fontId="15" fillId="13" borderId="11" xfId="0" applyFont="1" applyFill="1" applyBorder="1" applyAlignment="1">
      <alignment horizontal="center" vertical="center"/>
    </xf>
    <xf numFmtId="0" fontId="25" fillId="0" borderId="0" xfId="0" applyFont="1"/>
    <xf numFmtId="0" fontId="23" fillId="7" borderId="14" xfId="0" applyFont="1" applyFill="1" applyBorder="1" applyAlignment="1">
      <alignment horizontal="center"/>
    </xf>
    <xf numFmtId="0" fontId="24" fillId="11" borderId="10" xfId="0" applyFont="1" applyFill="1" applyBorder="1"/>
    <xf numFmtId="0" fontId="24" fillId="11" borderId="2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13" borderId="8" xfId="0" applyFont="1" applyFill="1" applyBorder="1"/>
    <xf numFmtId="0" fontId="24" fillId="13" borderId="2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/>
    </xf>
    <xf numFmtId="0" fontId="24" fillId="13" borderId="25" xfId="0" applyFont="1" applyFill="1" applyBorder="1" applyAlignment="1">
      <alignment horizontal="center" vertical="center"/>
    </xf>
    <xf numFmtId="167" fontId="23" fillId="0" borderId="0" xfId="0" applyNumberFormat="1" applyFont="1"/>
    <xf numFmtId="167" fontId="23" fillId="7" borderId="14" xfId="0" applyNumberFormat="1" applyFont="1" applyFill="1" applyBorder="1" applyAlignment="1">
      <alignment horizontal="center"/>
    </xf>
    <xf numFmtId="167" fontId="24" fillId="11" borderId="10" xfId="0" applyNumberFormat="1" applyFont="1" applyFill="1" applyBorder="1"/>
    <xf numFmtId="169" fontId="24" fillId="11" borderId="2" xfId="0" applyNumberFormat="1" applyFont="1" applyFill="1" applyBorder="1" applyAlignment="1">
      <alignment horizontal="center"/>
    </xf>
    <xf numFmtId="167" fontId="24" fillId="11" borderId="2" xfId="0" applyNumberFormat="1" applyFont="1" applyFill="1" applyBorder="1" applyAlignment="1">
      <alignment horizontal="center"/>
    </xf>
    <xf numFmtId="167" fontId="23" fillId="9" borderId="14" xfId="0" applyNumberFormat="1" applyFont="1" applyFill="1" applyBorder="1" applyAlignment="1">
      <alignment horizontal="center"/>
    </xf>
    <xf numFmtId="167" fontId="24" fillId="13" borderId="9" xfId="0" applyNumberFormat="1" applyFont="1" applyFill="1" applyBorder="1"/>
    <xf numFmtId="167" fontId="24" fillId="13" borderId="1" xfId="0" applyNumberFormat="1" applyFont="1" applyFill="1" applyBorder="1" applyAlignment="1">
      <alignment horizontal="center"/>
    </xf>
    <xf numFmtId="167" fontId="24" fillId="13" borderId="2" xfId="0" applyNumberFormat="1" applyFont="1" applyFill="1" applyBorder="1" applyAlignment="1">
      <alignment horizontal="center"/>
    </xf>
    <xf numFmtId="168" fontId="24" fillId="13" borderId="2" xfId="0" applyNumberFormat="1" applyFont="1" applyFill="1" applyBorder="1" applyAlignment="1">
      <alignment horizontal="center"/>
    </xf>
    <xf numFmtId="167" fontId="24" fillId="13" borderId="25" xfId="0" applyNumberFormat="1" applyFont="1" applyFill="1" applyBorder="1" applyAlignment="1">
      <alignment horizontal="center"/>
    </xf>
    <xf numFmtId="167" fontId="25" fillId="0" borderId="0" xfId="0" applyNumberFormat="1" applyFont="1"/>
    <xf numFmtId="0" fontId="12" fillId="13" borderId="24" xfId="0" applyFont="1" applyFill="1" applyBorder="1"/>
    <xf numFmtId="0" fontId="12" fillId="6" borderId="1" xfId="0" applyFont="1" applyFill="1" applyBorder="1" applyAlignment="1">
      <alignment horizontal="center" vertical="center"/>
    </xf>
    <xf numFmtId="167" fontId="3" fillId="6" borderId="2" xfId="0" applyNumberFormat="1" applyFont="1" applyFill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67" fontId="24" fillId="6" borderId="2" xfId="0" applyNumberFormat="1" applyFont="1" applyFill="1" applyBorder="1" applyAlignment="1">
      <alignment horizontal="center"/>
    </xf>
    <xf numFmtId="167" fontId="3" fillId="18" borderId="1" xfId="0" applyNumberFormat="1" applyFont="1" applyFill="1" applyBorder="1" applyAlignment="1">
      <alignment horizontal="center"/>
    </xf>
    <xf numFmtId="0" fontId="1" fillId="0" borderId="0" xfId="0" applyFont="1"/>
    <xf numFmtId="167" fontId="5" fillId="19" borderId="2" xfId="0" applyNumberFormat="1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9" fontId="3" fillId="6" borderId="30" xfId="0" applyNumberFormat="1" applyFont="1" applyFill="1" applyBorder="1" applyAlignment="1">
      <alignment horizontal="left"/>
    </xf>
    <xf numFmtId="0" fontId="1" fillId="0" borderId="5" xfId="0" applyFont="1" applyBorder="1"/>
    <xf numFmtId="170" fontId="24" fillId="6" borderId="2" xfId="0" applyNumberFormat="1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14" fillId="11" borderId="23" xfId="0" applyFont="1" applyFill="1" applyBorder="1" applyAlignment="1">
      <alignment horizontal="left" vertical="center"/>
    </xf>
    <xf numFmtId="0" fontId="14" fillId="11" borderId="21" xfId="0" applyFont="1" applyFill="1" applyBorder="1" applyAlignment="1">
      <alignment horizontal="left" vertical="center"/>
    </xf>
    <xf numFmtId="2" fontId="3" fillId="20" borderId="1" xfId="0" applyNumberFormat="1" applyFont="1" applyFill="1" applyBorder="1" applyAlignment="1">
      <alignment horizontal="center" vertical="center"/>
    </xf>
    <xf numFmtId="1" fontId="12" fillId="26" borderId="20" xfId="0" applyNumberFormat="1" applyFont="1" applyFill="1" applyBorder="1" applyAlignment="1">
      <alignment horizontal="center"/>
    </xf>
    <xf numFmtId="1" fontId="12" fillId="26" borderId="1" xfId="0" applyNumberFormat="1" applyFont="1" applyFill="1" applyBorder="1" applyAlignment="1">
      <alignment horizontal="center"/>
    </xf>
    <xf numFmtId="1" fontId="12" fillId="26" borderId="21" xfId="0" applyNumberFormat="1" applyFont="1" applyFill="1" applyBorder="1" applyAlignment="1">
      <alignment horizontal="center"/>
    </xf>
    <xf numFmtId="1" fontId="3" fillId="6" borderId="70" xfId="0" applyNumberFormat="1" applyFont="1" applyFill="1" applyBorder="1" applyAlignment="1">
      <alignment horizontal="center"/>
    </xf>
    <xf numFmtId="1" fontId="3" fillId="6" borderId="69" xfId="0" applyNumberFormat="1" applyFont="1" applyFill="1" applyBorder="1" applyAlignment="1">
      <alignment horizontal="center"/>
    </xf>
    <xf numFmtId="1" fontId="3" fillId="6" borderId="71" xfId="0" applyNumberFormat="1" applyFont="1" applyFill="1" applyBorder="1" applyAlignment="1">
      <alignment horizontal="center"/>
    </xf>
    <xf numFmtId="1" fontId="3" fillId="0" borderId="70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" fontId="3" fillId="0" borderId="71" xfId="0" applyNumberFormat="1" applyFont="1" applyBorder="1" applyAlignment="1">
      <alignment horizontal="center"/>
    </xf>
    <xf numFmtId="0" fontId="2" fillId="5" borderId="39" xfId="0" applyFont="1" applyFill="1" applyBorder="1"/>
    <xf numFmtId="0" fontId="2" fillId="5" borderId="41" xfId="0" applyFont="1" applyFill="1" applyBorder="1" applyAlignment="1">
      <alignment horizontal="center"/>
    </xf>
    <xf numFmtId="0" fontId="2" fillId="26" borderId="72" xfId="0" applyFont="1" applyFill="1" applyBorder="1"/>
    <xf numFmtId="0" fontId="3" fillId="26" borderId="19" xfId="0" applyFont="1" applyFill="1" applyBorder="1" applyAlignment="1">
      <alignment horizontal="center"/>
    </xf>
    <xf numFmtId="0" fontId="12" fillId="6" borderId="51" xfId="0" applyFont="1" applyFill="1" applyBorder="1"/>
    <xf numFmtId="0" fontId="11" fillId="6" borderId="53" xfId="0" applyFont="1" applyFill="1" applyBorder="1" applyAlignment="1">
      <alignment horizontal="center"/>
    </xf>
    <xf numFmtId="0" fontId="12" fillId="19" borderId="51" xfId="0" applyFont="1" applyFill="1" applyBorder="1"/>
    <xf numFmtId="0" fontId="3" fillId="0" borderId="53" xfId="0" applyFont="1" applyBorder="1" applyAlignment="1">
      <alignment horizontal="center"/>
    </xf>
    <xf numFmtId="0" fontId="29" fillId="11" borderId="1" xfId="0" applyFont="1" applyFill="1" applyBorder="1" applyAlignment="1">
      <alignment horizontal="center" vertical="center"/>
    </xf>
    <xf numFmtId="0" fontId="12" fillId="14" borderId="67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167" fontId="24" fillId="11" borderId="1" xfId="0" applyNumberFormat="1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9" fillId="11" borderId="21" xfId="0" applyFont="1" applyFill="1" applyBorder="1"/>
    <xf numFmtId="0" fontId="12" fillId="11" borderId="39" xfId="0" applyFont="1" applyFill="1" applyBorder="1"/>
    <xf numFmtId="0" fontId="15" fillId="11" borderId="73" xfId="0" applyFont="1" applyFill="1" applyBorder="1" applyAlignment="1">
      <alignment horizontal="center" vertical="center"/>
    </xf>
    <xf numFmtId="167" fontId="24" fillId="6" borderId="14" xfId="0" applyNumberFormat="1" applyFont="1" applyFill="1" applyBorder="1" applyAlignment="1">
      <alignment horizontal="center"/>
    </xf>
    <xf numFmtId="0" fontId="24" fillId="11" borderId="14" xfId="0" applyFont="1" applyFill="1" applyBorder="1" applyAlignment="1">
      <alignment horizontal="center"/>
    </xf>
    <xf numFmtId="0" fontId="14" fillId="11" borderId="15" xfId="0" applyFont="1" applyFill="1" applyBorder="1"/>
    <xf numFmtId="0" fontId="28" fillId="11" borderId="74" xfId="0" applyFont="1" applyFill="1" applyBorder="1"/>
    <xf numFmtId="0" fontId="29" fillId="11" borderId="25" xfId="0" applyFont="1" applyFill="1" applyBorder="1" applyAlignment="1">
      <alignment horizontal="center" vertical="center"/>
    </xf>
    <xf numFmtId="167" fontId="28" fillId="6" borderId="25" xfId="0" applyNumberFormat="1" applyFont="1" applyFill="1" applyBorder="1" applyAlignment="1">
      <alignment horizontal="center"/>
    </xf>
    <xf numFmtId="0" fontId="19" fillId="11" borderId="25" xfId="0" applyFont="1" applyFill="1" applyBorder="1" applyAlignment="1">
      <alignment horizontal="center"/>
    </xf>
    <xf numFmtId="0" fontId="14" fillId="11" borderId="26" xfId="0" applyFont="1" applyFill="1" applyBorder="1"/>
    <xf numFmtId="0" fontId="28" fillId="11" borderId="67" xfId="0" applyFont="1" applyFill="1" applyBorder="1"/>
    <xf numFmtId="167" fontId="28" fillId="6" borderId="1" xfId="0" applyNumberFormat="1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4" fillId="11" borderId="21" xfId="0" applyFont="1" applyFill="1" applyBorder="1"/>
    <xf numFmtId="0" fontId="12" fillId="11" borderId="75" xfId="0" applyFont="1" applyFill="1" applyBorder="1"/>
    <xf numFmtId="0" fontId="15" fillId="11" borderId="76" xfId="0" applyFont="1" applyFill="1" applyBorder="1" applyAlignment="1">
      <alignment horizontal="center" vertical="center"/>
    </xf>
    <xf numFmtId="167" fontId="24" fillId="6" borderId="12" xfId="0" applyNumberFormat="1" applyFont="1" applyFill="1" applyBorder="1" applyAlignment="1">
      <alignment horizontal="center"/>
    </xf>
    <xf numFmtId="0" fontId="24" fillId="11" borderId="12" xfId="0" applyFont="1" applyFill="1" applyBorder="1" applyAlignment="1">
      <alignment horizontal="center"/>
    </xf>
    <xf numFmtId="0" fontId="14" fillId="11" borderId="44" xfId="0" applyFont="1" applyFill="1" applyBorder="1"/>
    <xf numFmtId="0" fontId="12" fillId="11" borderId="77" xfId="0" applyFont="1" applyFill="1" applyBorder="1"/>
    <xf numFmtId="0" fontId="14" fillId="11" borderId="30" xfId="0" applyFont="1" applyFill="1" applyBorder="1"/>
    <xf numFmtId="0" fontId="28" fillId="11" borderId="78" xfId="0" applyFont="1" applyFill="1" applyBorder="1"/>
    <xf numFmtId="0" fontId="14" fillId="11" borderId="38" xfId="0" applyFont="1" applyFill="1" applyBorder="1"/>
    <xf numFmtId="0" fontId="12" fillId="11" borderId="13" xfId="0" applyFont="1" applyFill="1" applyBorder="1"/>
    <xf numFmtId="0" fontId="23" fillId="11" borderId="14" xfId="0" applyFont="1" applyFill="1" applyBorder="1" applyAlignment="1">
      <alignment horizontal="center"/>
    </xf>
    <xf numFmtId="167" fontId="17" fillId="6" borderId="14" xfId="0" applyNumberFormat="1" applyFont="1" applyFill="1" applyBorder="1" applyAlignment="1">
      <alignment horizontal="center" vertical="center" wrapText="1" readingOrder="1"/>
    </xf>
    <xf numFmtId="0" fontId="12" fillId="11" borderId="24" xfId="0" applyFont="1" applyFill="1" applyBorder="1"/>
    <xf numFmtId="0" fontId="15" fillId="11" borderId="79" xfId="0" applyFont="1" applyFill="1" applyBorder="1" applyAlignment="1">
      <alignment horizontal="center" vertical="center"/>
    </xf>
    <xf numFmtId="2" fontId="23" fillId="6" borderId="25" xfId="0" applyNumberFormat="1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9" fontId="3" fillId="11" borderId="26" xfId="0" applyNumberFormat="1" applyFont="1" applyFill="1" applyBorder="1" applyAlignment="1">
      <alignment horizontal="left"/>
    </xf>
    <xf numFmtId="0" fontId="12" fillId="0" borderId="51" xfId="0" applyFont="1" applyBorder="1"/>
    <xf numFmtId="0" fontId="11" fillId="0" borderId="2" xfId="0" applyFont="1" applyBorder="1"/>
    <xf numFmtId="0" fontId="0" fillId="19" borderId="0" xfId="0" applyFill="1"/>
    <xf numFmtId="171" fontId="17" fillId="24" borderId="2" xfId="0" applyNumberFormat="1" applyFont="1" applyFill="1" applyBorder="1" applyAlignment="1">
      <alignment horizontal="center" vertical="center" wrapText="1" readingOrder="1"/>
    </xf>
    <xf numFmtId="171" fontId="17" fillId="24" borderId="25" xfId="0" applyNumberFormat="1" applyFont="1" applyFill="1" applyBorder="1" applyAlignment="1">
      <alignment horizontal="center" vertical="center" wrapText="1" readingOrder="1"/>
    </xf>
    <xf numFmtId="171" fontId="0" fillId="0" borderId="14" xfId="0" applyNumberFormat="1" applyBorder="1"/>
    <xf numFmtId="171" fontId="12" fillId="17" borderId="25" xfId="0" applyNumberFormat="1" applyFont="1" applyFill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 horizontal="center"/>
    </xf>
    <xf numFmtId="171" fontId="3" fillId="19" borderId="14" xfId="0" applyNumberFormat="1" applyFont="1" applyFill="1" applyBorder="1" applyAlignment="1">
      <alignment horizontal="center"/>
    </xf>
    <xf numFmtId="171" fontId="3" fillId="19" borderId="2" xfId="0" applyNumberFormat="1" applyFont="1" applyFill="1" applyBorder="1" applyAlignment="1">
      <alignment horizontal="center"/>
    </xf>
    <xf numFmtId="171" fontId="3" fillId="19" borderId="25" xfId="0" applyNumberFormat="1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left"/>
    </xf>
    <xf numFmtId="0" fontId="2" fillId="12" borderId="6" xfId="0" applyFont="1" applyFill="1" applyBorder="1" applyAlignment="1">
      <alignment horizontal="center" vertical="center"/>
    </xf>
    <xf numFmtId="0" fontId="11" fillId="23" borderId="35" xfId="0" applyFont="1" applyFill="1" applyBorder="1" applyAlignment="1">
      <alignment horizontal="left"/>
    </xf>
    <xf numFmtId="0" fontId="12" fillId="15" borderId="2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2" fillId="1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70" fontId="3" fillId="0" borderId="22" xfId="0" applyNumberFormat="1" applyFont="1" applyBorder="1" applyAlignment="1">
      <alignment horizontal="center" vertical="center"/>
    </xf>
    <xf numFmtId="170" fontId="3" fillId="0" borderId="23" xfId="0" applyNumberFormat="1" applyFont="1" applyBorder="1" applyAlignment="1">
      <alignment horizontal="center" vertical="center"/>
    </xf>
    <xf numFmtId="0" fontId="29" fillId="13" borderId="22" xfId="0" applyFont="1" applyFill="1" applyBorder="1" applyAlignment="1">
      <alignment horizontal="center" vertical="center"/>
    </xf>
    <xf numFmtId="0" fontId="29" fillId="13" borderId="2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/>
    </xf>
    <xf numFmtId="0" fontId="10" fillId="6" borderId="80" xfId="0" applyFont="1" applyFill="1" applyBorder="1"/>
    <xf numFmtId="0" fontId="30" fillId="13" borderId="22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/>
    </xf>
    <xf numFmtId="0" fontId="29" fillId="13" borderId="13" xfId="0" applyFont="1" applyFill="1" applyBorder="1" applyAlignment="1">
      <alignment horizontal="center" vertical="center"/>
    </xf>
    <xf numFmtId="0" fontId="29" fillId="13" borderId="14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2" fontId="0" fillId="6" borderId="24" xfId="0" applyNumberFormat="1" applyFill="1" applyBorder="1" applyAlignment="1">
      <alignment horizontal="center"/>
    </xf>
    <xf numFmtId="170" fontId="0" fillId="6" borderId="25" xfId="0" applyNumberFormat="1" applyFill="1" applyBorder="1" applyAlignment="1">
      <alignment horizontal="center"/>
    </xf>
    <xf numFmtId="170" fontId="0" fillId="6" borderId="26" xfId="0" applyNumberFormat="1" applyFill="1" applyBorder="1" applyAlignment="1">
      <alignment horizontal="center"/>
    </xf>
    <xf numFmtId="170" fontId="0" fillId="6" borderId="24" xfId="0" applyNumberFormat="1" applyFill="1" applyBorder="1" applyAlignment="1">
      <alignment horizontal="center"/>
    </xf>
    <xf numFmtId="170" fontId="3" fillId="6" borderId="25" xfId="0" applyNumberFormat="1" applyFont="1" applyFill="1" applyBorder="1" applyAlignment="1">
      <alignment horizontal="center" vertical="center"/>
    </xf>
    <xf numFmtId="170" fontId="3" fillId="6" borderId="26" xfId="0" applyNumberFormat="1" applyFont="1" applyFill="1" applyBorder="1" applyAlignment="1">
      <alignment horizontal="center" vertical="center"/>
    </xf>
    <xf numFmtId="167" fontId="25" fillId="13" borderId="0" xfId="0" applyNumberFormat="1" applyFont="1" applyFill="1" applyAlignment="1">
      <alignment horizontal="center"/>
    </xf>
    <xf numFmtId="0" fontId="10" fillId="27" borderId="28" xfId="0" applyFont="1" applyFill="1" applyBorder="1" applyAlignment="1">
      <alignment wrapText="1"/>
    </xf>
    <xf numFmtId="0" fontId="0" fillId="0" borderId="28" xfId="0" applyBorder="1"/>
    <xf numFmtId="0" fontId="10" fillId="27" borderId="28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4" fillId="2" borderId="9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6" fillId="21" borderId="51" xfId="0" applyFont="1" applyFill="1" applyBorder="1" applyAlignment="1">
      <alignment horizontal="center"/>
    </xf>
    <xf numFmtId="0" fontId="5" fillId="22" borderId="52" xfId="0" applyFont="1" applyFill="1" applyBorder="1" applyAlignment="1"/>
    <xf numFmtId="0" fontId="5" fillId="22" borderId="53" xfId="0" applyFont="1" applyFill="1" applyBorder="1" applyAlignment="1"/>
    <xf numFmtId="0" fontId="2" fillId="16" borderId="18" xfId="0" applyFont="1" applyFill="1" applyBorder="1" applyAlignment="1">
      <alignment horizontal="center"/>
    </xf>
    <xf numFmtId="0" fontId="5" fillId="10" borderId="10" xfId="0" applyFont="1" applyFill="1" applyBorder="1" applyAlignment="1"/>
    <xf numFmtId="0" fontId="5" fillId="10" borderId="27" xfId="0" applyFont="1" applyFill="1" applyBorder="1" applyAlignment="1"/>
    <xf numFmtId="0" fontId="2" fillId="16" borderId="31" xfId="0" applyFont="1" applyFill="1" applyBorder="1" applyAlignment="1">
      <alignment horizontal="center"/>
    </xf>
    <xf numFmtId="0" fontId="5" fillId="10" borderId="8" xfId="0" applyFont="1" applyFill="1" applyBorder="1" applyAlignment="1"/>
    <xf numFmtId="0" fontId="5" fillId="10" borderId="32" xfId="0" applyFont="1" applyFill="1" applyBorder="1" applyAlignment="1"/>
    <xf numFmtId="0" fontId="6" fillId="21" borderId="52" xfId="0" applyFont="1" applyFill="1" applyBorder="1" applyAlignment="1">
      <alignment horizontal="center"/>
    </xf>
    <xf numFmtId="0" fontId="6" fillId="21" borderId="53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5" fillId="10" borderId="17" xfId="0" applyFont="1" applyFill="1" applyBorder="1" applyAlignment="1"/>
    <xf numFmtId="0" fontId="12" fillId="16" borderId="16" xfId="0" applyFont="1" applyFill="1" applyBorder="1" applyAlignment="1">
      <alignment horizontal="center"/>
    </xf>
    <xf numFmtId="0" fontId="18" fillId="21" borderId="51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12" fillId="16" borderId="31" xfId="0" applyFont="1" applyFill="1" applyBorder="1" applyAlignment="1">
      <alignment horizontal="center"/>
    </xf>
    <xf numFmtId="0" fontId="18" fillId="21" borderId="64" xfId="0" applyFont="1" applyFill="1" applyBorder="1" applyAlignment="1">
      <alignment horizontal="center"/>
    </xf>
    <xf numFmtId="0" fontId="18" fillId="21" borderId="65" xfId="0" applyFont="1" applyFill="1" applyBorder="1" applyAlignment="1">
      <alignment horizontal="center"/>
    </xf>
    <xf numFmtId="0" fontId="18" fillId="21" borderId="6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5" fillId="8" borderId="40" xfId="0" applyFont="1" applyFill="1" applyBorder="1" applyAlignment="1"/>
    <xf numFmtId="0" fontId="5" fillId="8" borderId="41" xfId="0" applyFont="1" applyFill="1" applyBorder="1" applyAlignment="1"/>
    <xf numFmtId="0" fontId="12" fillId="9" borderId="18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28" fillId="12" borderId="70" xfId="0" applyFont="1" applyFill="1" applyBorder="1" applyAlignment="1">
      <alignment horizontal="center" vertical="center"/>
    </xf>
    <xf numFmtId="0" fontId="28" fillId="12" borderId="69" xfId="0" applyFont="1" applyFill="1" applyBorder="1" applyAlignment="1">
      <alignment horizontal="center" vertical="center"/>
    </xf>
    <xf numFmtId="0" fontId="28" fillId="12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66FFFF"/>
      <color rgb="FFFF9966"/>
      <color rgb="FFCCFFCC"/>
      <color rgb="FFFF99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="1">
                <a:solidFill>
                  <a:sysClr val="windowText" lastClr="000000"/>
                </a:solidFill>
              </a:rPr>
              <a:t>CAPEX (M€)</a:t>
            </a:r>
            <a:endParaRPr lang="it-I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9324955521499412"/>
          <c:y val="0.11378873742101814"/>
          <c:w val="0.45242706406665611"/>
          <c:h val="0.674791045660774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BA-40B4-86B9-0A66A1A7B201}"/>
              </c:ext>
            </c:extLst>
          </c:dPt>
          <c:dPt>
            <c:idx val="1"/>
            <c:bubble3D val="0"/>
            <c:spPr>
              <a:solidFill>
                <a:srgbClr val="FF99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BA-40B4-86B9-0A66A1A7B20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BA-40B4-86B9-0A66A1A7B201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4BA-40B4-86B9-0A66A1A7B20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4BA-40B4-86B9-0A66A1A7B2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4BA-40B4-86B9-0A66A1A7B201}"/>
              </c:ext>
            </c:extLst>
          </c:dPt>
          <c:dPt>
            <c:idx val="6"/>
            <c:bubble3D val="0"/>
            <c:spPr>
              <a:solidFill>
                <a:srgbClr val="66FF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4BA-40B4-86B9-0A66A1A7B2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4BA-40B4-86B9-0A66A1A7B201}"/>
              </c:ext>
            </c:extLst>
          </c:dPt>
          <c:dPt>
            <c:idx val="8"/>
            <c:bubble3D val="0"/>
            <c:spPr>
              <a:solidFill>
                <a:srgbClr val="FF0066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4BA-40B4-86B9-0A66A1A7B201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4BA-40B4-86B9-0A66A1A7B201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4BA-40B4-86B9-0A66A1A7B201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4BA-40B4-86B9-0A66A1A7B20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4BA-40B4-86B9-0A66A1A7B201}"/>
              </c:ext>
            </c:extLst>
          </c:dPt>
          <c:dPt>
            <c:idx val="13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4BA-40B4-86B9-0A66A1A7B201}"/>
              </c:ext>
            </c:extLst>
          </c:dPt>
          <c:dPt>
            <c:idx val="14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4BA-40B4-86B9-0A66A1A7B2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('3-Calculation of indicators'!$C$50,'3-Calculation of indicators'!$C$51,'3-Calculation of indicators'!$C$52,'3-Calculation of indicators'!$C$53,'3-Calculation of indicators'!$C$54,'3-Calculation of indicators'!$C$55,'3-Calculation of indicators'!$C$57,'3-Calculation of indicators'!$C$61,'3-Calculation of indicators'!$C$63,'3-Calculation of indicators'!$C$65,'3-Calculation of indicators'!$C$67,'3-Calculation of indicators'!$C$69)</c:f>
              <c:strCache>
                <c:ptCount val="12"/>
                <c:pt idx="0">
                  <c:v>C_HTS</c:v>
                </c:pt>
                <c:pt idx="1">
                  <c:v>C_Cu</c:v>
                </c:pt>
                <c:pt idx="2">
                  <c:v>C_ins</c:v>
                </c:pt>
                <c:pt idx="3">
                  <c:v>C_LN2</c:v>
                </c:pt>
                <c:pt idx="4">
                  <c:v>C_cryo</c:v>
                </c:pt>
                <c:pt idx="5">
                  <c:v>C_term</c:v>
                </c:pt>
                <c:pt idx="6">
                  <c:v>C_cool</c:v>
                </c:pt>
                <c:pt idx="7">
                  <c:v>C_land</c:v>
                </c:pt>
                <c:pt idx="8">
                  <c:v>C_cab</c:v>
                </c:pt>
                <c:pt idx="9">
                  <c:v>C_vac</c:v>
                </c:pt>
                <c:pt idx="10">
                  <c:v>C_dism</c:v>
                </c:pt>
                <c:pt idx="11">
                  <c:v>C_other</c:v>
                </c:pt>
              </c:strCache>
            </c:strRef>
          </c:cat>
          <c:val>
            <c:numRef>
              <c:f>('3-Calculation of indicators'!$D$50,'3-Calculation of indicators'!$D$51,'3-Calculation of indicators'!$D$52,'3-Calculation of indicators'!$D$53,'3-Calculation of indicators'!$D$54,'3-Calculation of indicators'!$D$55,'3-Calculation of indicators'!$D$57,'3-Calculation of indicators'!$D$61,'3-Calculation of indicators'!$D$63,'3-Calculation of indicators'!$D$65,'3-Calculation of indicators'!$D$67,'3-Calculation of indicators'!$D$69)</c:f>
              <c:numCache>
                <c:formatCode>0.0</c:formatCode>
                <c:ptCount val="12"/>
                <c:pt idx="0">
                  <c:v>538.87186230517784</c:v>
                </c:pt>
                <c:pt idx="1">
                  <c:v>3.8241691284792467</c:v>
                </c:pt>
                <c:pt idx="2">
                  <c:v>8.2016266689882382</c:v>
                </c:pt>
                <c:pt idx="3" formatCode="0.00000">
                  <c:v>2.3998771658933582E-4</c:v>
                </c:pt>
                <c:pt idx="4">
                  <c:v>14.08</c:v>
                </c:pt>
                <c:pt idx="5">
                  <c:v>0.8</c:v>
                </c:pt>
                <c:pt idx="6">
                  <c:v>7.0327376768436478</c:v>
                </c:pt>
                <c:pt idx="7">
                  <c:v>0.76800000000000002</c:v>
                </c:pt>
                <c:pt idx="8">
                  <c:v>64</c:v>
                </c:pt>
                <c:pt idx="9">
                  <c:v>3.3279999999999998</c:v>
                </c:pt>
                <c:pt idx="10">
                  <c:v>0.18181847334435561</c:v>
                </c:pt>
                <c:pt idx="11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4BA-40B4-86B9-0A66A1A7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862558790889382"/>
          <c:y val="3.499057745508475E-2"/>
          <c:w val="0.22541091088446158"/>
          <c:h val="0.91817077779398526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="1">
                <a:solidFill>
                  <a:sysClr val="windowText" lastClr="000000"/>
                </a:solidFill>
              </a:rPr>
              <a:t>OPEX (M€)</a:t>
            </a:r>
            <a:endParaRPr lang="it-I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9324955521499412"/>
          <c:y val="0.11378873742101814"/>
          <c:w val="0.45242706406665611"/>
          <c:h val="0.67479104566077408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C2-4705-8BF3-D5F1FC07C3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C2-4705-8BF3-D5F1FC07C35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C2-4705-8BF3-D5F1FC07C352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C2-4705-8BF3-D5F1FC07C3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C2-4705-8BF3-D5F1FC07C3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C2-4705-8BF3-D5F1FC07C352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C2-4705-8BF3-D5F1FC07C35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C2-4705-8BF3-D5F1FC07C352}"/>
              </c:ext>
            </c:extLst>
          </c:dPt>
          <c:dPt>
            <c:idx val="8"/>
            <c:bubble3D val="0"/>
            <c:spPr>
              <a:solidFill>
                <a:srgbClr val="FF0066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C2-4705-8BF3-D5F1FC07C352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C2-4705-8BF3-D5F1FC07C352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EC2-4705-8BF3-D5F1FC07C35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EC2-4705-8BF3-D5F1FC07C35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EC2-4705-8BF3-D5F1FC07C352}"/>
              </c:ext>
            </c:extLst>
          </c:dPt>
          <c:dPt>
            <c:idx val="13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EC2-4705-8BF3-D5F1FC07C352}"/>
              </c:ext>
            </c:extLst>
          </c:dPt>
          <c:dPt>
            <c:idx val="14"/>
            <c:bubble3D val="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EC2-4705-8BF3-D5F1FC07C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('3-Calculation of indicators'!$I$81,'3-Calculation of indicators'!$J$81)</c:f>
              <c:strCache>
                <c:ptCount val="2"/>
                <c:pt idx="0">
                  <c:v>O_cool_t</c:v>
                </c:pt>
                <c:pt idx="1">
                  <c:v>O_maint_t</c:v>
                </c:pt>
              </c:strCache>
            </c:strRef>
          </c:cat>
          <c:val>
            <c:numRef>
              <c:f>('3-Calculation of indicators'!$M$123,'3-Calculation of indicators'!$N$123)</c:f>
              <c:numCache>
                <c:formatCode>0.000</c:formatCode>
                <c:ptCount val="2"/>
                <c:pt idx="0">
                  <c:v>15.758054417837183</c:v>
                </c:pt>
                <c:pt idx="1">
                  <c:v>3.2945445799669328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EC2-4705-8BF3-D5F1FC07C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32564603921154"/>
          <c:y val="0.36117186983565464"/>
          <c:w val="0.22541091088446158"/>
          <c:h val="0.1882732176337514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2217420</xdr:colOff>
      <xdr:row>47</xdr:row>
      <xdr:rowOff>167640</xdr:rowOff>
    </xdr:from>
    <xdr:to>
      <xdr:col>5</xdr:col>
      <xdr:colOff>281940</xdr:colOff>
      <xdr:row>64</xdr:row>
      <xdr:rowOff>1524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7A99059-DAD7-0671-46C7-28B6C2464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7020" y="8625840"/>
          <a:ext cx="4937760" cy="2813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1173480</xdr:colOff>
      <xdr:row>80</xdr:row>
      <xdr:rowOff>152400</xdr:rowOff>
    </xdr:from>
    <xdr:to>
      <xdr:col>5</xdr:col>
      <xdr:colOff>1701165</xdr:colOff>
      <xdr:row>107</xdr:row>
      <xdr:rowOff>170498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A8B1E87-45C1-4B7C-AC22-F234D3AEC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1851660</xdr:colOff>
      <xdr:row>80</xdr:row>
      <xdr:rowOff>144780</xdr:rowOff>
    </xdr:from>
    <xdr:to>
      <xdr:col>5</xdr:col>
      <xdr:colOff>8818245</xdr:colOff>
      <xdr:row>107</xdr:row>
      <xdr:rowOff>162878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DA99951-3642-4C91-834F-A7EB4A052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00"/>
  <sheetViews>
    <sheetView topLeftCell="A3" zoomScale="115" zoomScaleNormal="115" workbookViewId="0">
      <selection activeCell="D13" sqref="D13"/>
    </sheetView>
  </sheetViews>
  <sheetFormatPr defaultColWidth="14.44140625" defaultRowHeight="15" customHeight="1"/>
  <cols>
    <col min="1" max="1" width="8.88671875" customWidth="1"/>
    <col min="2" max="2" width="11.44140625" customWidth="1"/>
    <col min="3" max="3" width="44.33203125" customWidth="1"/>
    <col min="4" max="4" width="92.6640625" customWidth="1"/>
    <col min="5" max="26" width="11.44140625" customWidth="1"/>
  </cols>
  <sheetData>
    <row r="1" spans="2:21" ht="14.25" customHeight="1">
      <c r="B1" s="1" t="s">
        <v>0</v>
      </c>
      <c r="C1" s="1"/>
      <c r="D1" s="1"/>
      <c r="E1" s="1"/>
      <c r="I1" s="2"/>
      <c r="L1" s="2"/>
      <c r="Q1" s="3"/>
      <c r="R1" s="3"/>
      <c r="U1" s="3"/>
    </row>
    <row r="2" spans="2:21" ht="14.25" customHeight="1">
      <c r="B2" s="1" t="s">
        <v>1</v>
      </c>
      <c r="C2" s="1"/>
      <c r="D2" s="1"/>
      <c r="E2" s="1"/>
      <c r="I2" s="2"/>
      <c r="L2" s="2"/>
      <c r="Q2" s="3"/>
      <c r="R2" s="3"/>
      <c r="U2" s="3"/>
    </row>
    <row r="3" spans="2:21" ht="14.25" customHeight="1"/>
    <row r="4" spans="2:21" ht="14.25" customHeight="1">
      <c r="B4" s="423" t="s">
        <v>2</v>
      </c>
      <c r="C4" s="4" t="s">
        <v>3</v>
      </c>
      <c r="D4" s="5" t="s">
        <v>4</v>
      </c>
    </row>
    <row r="5" spans="2:21" ht="12.75" customHeight="1">
      <c r="B5" s="424"/>
      <c r="C5" s="420" t="s">
        <v>5</v>
      </c>
      <c r="D5" s="421" t="s">
        <v>599</v>
      </c>
    </row>
    <row r="6" spans="2:21" ht="14.25" customHeight="1">
      <c r="B6" s="424"/>
      <c r="C6" s="422" t="s">
        <v>6</v>
      </c>
      <c r="D6" s="379" t="s">
        <v>0</v>
      </c>
    </row>
    <row r="7" spans="2:21" ht="14.25" customHeight="1">
      <c r="B7" s="424"/>
      <c r="C7" s="422" t="s">
        <v>7</v>
      </c>
      <c r="D7" s="421" t="s">
        <v>600</v>
      </c>
    </row>
    <row r="8" spans="2:21" ht="14.25" customHeight="1">
      <c r="B8" s="424"/>
      <c r="C8" s="422" t="s">
        <v>8</v>
      </c>
      <c r="D8" s="421" t="s">
        <v>601</v>
      </c>
    </row>
    <row r="9" spans="2:21" ht="14.25" customHeight="1">
      <c r="B9" s="425"/>
      <c r="C9" s="422" t="s">
        <v>9</v>
      </c>
      <c r="D9" s="421" t="s">
        <v>602</v>
      </c>
    </row>
    <row r="10" spans="2:21" ht="14.25" customHeight="1">
      <c r="B10" s="426" t="s">
        <v>10</v>
      </c>
      <c r="C10" s="422" t="s">
        <v>11</v>
      </c>
      <c r="D10" s="421" t="s">
        <v>603</v>
      </c>
    </row>
    <row r="11" spans="2:21" ht="14.25" customHeight="1">
      <c r="B11" s="427"/>
      <c r="C11" s="422" t="s">
        <v>12</v>
      </c>
      <c r="D11" s="421" t="s">
        <v>604</v>
      </c>
    </row>
    <row r="12" spans="2:21" ht="14.25" customHeight="1">
      <c r="B12" s="427"/>
      <c r="C12" s="422" t="s">
        <v>13</v>
      </c>
      <c r="D12" s="421" t="s">
        <v>608</v>
      </c>
    </row>
    <row r="13" spans="2:21" ht="14.25" customHeight="1">
      <c r="B13" s="427"/>
      <c r="C13" s="422" t="s">
        <v>15</v>
      </c>
      <c r="D13" s="421" t="s">
        <v>14</v>
      </c>
    </row>
    <row r="14" spans="2:21" s="380" customFormat="1" ht="14.25" customHeight="1">
      <c r="B14" s="427"/>
      <c r="C14" s="422" t="s">
        <v>16</v>
      </c>
      <c r="D14" s="421" t="s">
        <v>605</v>
      </c>
    </row>
    <row r="15" spans="2:21" ht="14.25" customHeight="1">
      <c r="B15" s="427"/>
      <c r="C15" s="422" t="s">
        <v>17</v>
      </c>
      <c r="D15" s="421" t="s">
        <v>18</v>
      </c>
    </row>
    <row r="16" spans="2:21" ht="14.25" customHeight="1">
      <c r="B16" s="427"/>
      <c r="C16" s="422" t="s">
        <v>19</v>
      </c>
      <c r="D16" s="421" t="s">
        <v>20</v>
      </c>
    </row>
    <row r="17" spans="2:4" ht="14.25" customHeight="1">
      <c r="B17" s="427"/>
      <c r="C17" s="422" t="s">
        <v>21</v>
      </c>
      <c r="D17" s="421" t="s">
        <v>606</v>
      </c>
    </row>
    <row r="18" spans="2:4" ht="14.25" customHeight="1">
      <c r="B18" s="427"/>
      <c r="C18" s="422" t="s">
        <v>607</v>
      </c>
      <c r="D18" s="421" t="s">
        <v>22</v>
      </c>
    </row>
    <row r="19" spans="2:4" ht="14.25" customHeight="1"/>
    <row r="20" spans="2:4" ht="14.25" customHeight="1"/>
    <row r="21" spans="2:4" ht="14.25" customHeight="1"/>
    <row r="22" spans="2:4" ht="14.25" customHeight="1"/>
    <row r="23" spans="2:4" ht="14.25" customHeight="1"/>
    <row r="24" spans="2:4" ht="14.25" customHeight="1"/>
    <row r="25" spans="2:4" ht="14.25" customHeight="1"/>
    <row r="26" spans="2:4" ht="14.25" customHeight="1"/>
    <row r="27" spans="2:4" ht="14.25" customHeight="1"/>
    <row r="28" spans="2:4" ht="14.25" customHeight="1"/>
    <row r="29" spans="2:4" ht="14.25" customHeight="1"/>
    <row r="30" spans="2:4" ht="14.25" customHeight="1"/>
    <row r="31" spans="2:4" ht="14.25" customHeight="1"/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B4:B9"/>
    <mergeCell ref="B10:B1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04"/>
  <sheetViews>
    <sheetView topLeftCell="A13" zoomScaleNormal="100" workbookViewId="0">
      <selection activeCell="C7" sqref="C7"/>
    </sheetView>
  </sheetViews>
  <sheetFormatPr defaultColWidth="14.44140625" defaultRowHeight="15" customHeight="1"/>
  <cols>
    <col min="1" max="1" width="8.88671875" customWidth="1"/>
    <col min="2" max="2" width="53" customWidth="1"/>
    <col min="3" max="3" width="15.88671875" customWidth="1"/>
    <col min="4" max="4" width="11.109375" style="53" customWidth="1"/>
    <col min="5" max="5" width="11.109375" customWidth="1"/>
    <col min="6" max="6" width="53.88671875" customWidth="1"/>
    <col min="7" max="7" width="22.88671875" customWidth="1"/>
    <col min="8" max="8" width="17" customWidth="1"/>
    <col min="9" max="9" width="15" customWidth="1"/>
    <col min="10" max="10" width="13.33203125" customWidth="1"/>
    <col min="11" max="11" width="10.6640625" customWidth="1"/>
    <col min="12" max="12" width="14.33203125" customWidth="1"/>
    <col min="13" max="13" width="14" customWidth="1"/>
    <col min="14" max="14" width="8.88671875" customWidth="1"/>
    <col min="15" max="15" width="13.44140625" customWidth="1"/>
    <col min="16" max="16" width="15.109375" customWidth="1"/>
    <col min="17" max="17" width="17.33203125" customWidth="1"/>
    <col min="18" max="18" width="8.88671875" customWidth="1"/>
    <col min="19" max="19" width="17" customWidth="1"/>
    <col min="20" max="20" width="14" customWidth="1"/>
    <col min="21" max="21" width="16.44140625" customWidth="1"/>
    <col min="22" max="25" width="8.88671875" customWidth="1"/>
  </cols>
  <sheetData>
    <row r="1" spans="2:20" ht="14.25" customHeight="1">
      <c r="B1" s="1" t="s">
        <v>0</v>
      </c>
      <c r="C1" s="1"/>
      <c r="D1" s="12"/>
      <c r="H1" s="2"/>
      <c r="K1" s="2"/>
      <c r="P1" s="3"/>
      <c r="Q1" s="3"/>
      <c r="T1" s="3"/>
    </row>
    <row r="2" spans="2:20" ht="14.25" customHeight="1">
      <c r="B2" s="1" t="s">
        <v>23</v>
      </c>
      <c r="C2" s="1"/>
      <c r="D2" s="12"/>
      <c r="K2" s="2"/>
      <c r="P2" s="3"/>
      <c r="Q2" s="3"/>
      <c r="T2" s="3"/>
    </row>
    <row r="3" spans="2:20" ht="14.25" customHeight="1" thickBot="1">
      <c r="B3" s="1"/>
      <c r="C3" s="1"/>
      <c r="D3" s="12"/>
      <c r="K3" s="2"/>
      <c r="P3" s="3"/>
      <c r="Q3" s="3"/>
      <c r="T3" s="3"/>
    </row>
    <row r="4" spans="2:20" ht="21.6" customHeight="1" thickBot="1">
      <c r="B4" s="443" t="s">
        <v>44</v>
      </c>
      <c r="C4" s="444"/>
      <c r="D4" s="444"/>
      <c r="E4" s="444"/>
      <c r="F4" s="445"/>
      <c r="K4" s="2"/>
      <c r="P4" s="3"/>
      <c r="Q4" s="3"/>
      <c r="T4" s="3"/>
    </row>
    <row r="5" spans="2:20" ht="14.25" customHeight="1">
      <c r="B5" s="114" t="s">
        <v>24</v>
      </c>
      <c r="C5" s="115" t="s">
        <v>25</v>
      </c>
      <c r="D5" s="116" t="s">
        <v>45</v>
      </c>
      <c r="E5" s="116" t="s">
        <v>26</v>
      </c>
      <c r="F5" s="117" t="s">
        <v>27</v>
      </c>
      <c r="P5" s="3"/>
      <c r="Q5" s="3"/>
      <c r="T5" s="3"/>
    </row>
    <row r="6" spans="2:20" ht="14.25" customHeight="1">
      <c r="B6" s="83" t="s">
        <v>587</v>
      </c>
      <c r="C6" s="58" t="s">
        <v>588</v>
      </c>
      <c r="D6" s="59">
        <v>2</v>
      </c>
      <c r="E6" s="60"/>
      <c r="F6" s="84"/>
      <c r="P6" s="3"/>
      <c r="Q6" s="3"/>
      <c r="T6" s="3"/>
    </row>
    <row r="7" spans="2:20" ht="14.25" customHeight="1">
      <c r="B7" s="83" t="s">
        <v>589</v>
      </c>
      <c r="C7" s="58" t="s">
        <v>47</v>
      </c>
      <c r="D7" s="128">
        <v>32000</v>
      </c>
      <c r="E7" s="60" t="s">
        <v>29</v>
      </c>
      <c r="F7" s="84"/>
      <c r="H7" s="177" t="s">
        <v>48</v>
      </c>
      <c r="K7" s="2"/>
      <c r="P7" s="3"/>
      <c r="Q7" s="3"/>
      <c r="T7" s="3"/>
    </row>
    <row r="8" spans="2:20" ht="14.25" customHeight="1">
      <c r="B8" s="83" t="s">
        <v>49</v>
      </c>
      <c r="C8" s="58" t="s">
        <v>50</v>
      </c>
      <c r="D8" s="128">
        <v>750000000</v>
      </c>
      <c r="E8" s="60" t="s">
        <v>51</v>
      </c>
      <c r="F8" s="84" t="s">
        <v>52</v>
      </c>
      <c r="H8" s="78"/>
      <c r="I8" s="311" t="s">
        <v>53</v>
      </c>
      <c r="K8" s="2"/>
      <c r="P8" s="3"/>
      <c r="Q8" s="3"/>
      <c r="T8" s="3"/>
    </row>
    <row r="9" spans="2:20" ht="14.25" customHeight="1">
      <c r="B9" s="83" t="s">
        <v>54</v>
      </c>
      <c r="C9" s="58" t="s">
        <v>55</v>
      </c>
      <c r="D9" s="128">
        <v>33000</v>
      </c>
      <c r="E9" s="60" t="s">
        <v>56</v>
      </c>
      <c r="F9" s="393" t="s">
        <v>585</v>
      </c>
      <c r="H9" s="79"/>
      <c r="I9" s="311" t="s">
        <v>57</v>
      </c>
      <c r="K9" s="2"/>
      <c r="P9" s="3"/>
      <c r="Q9" s="3"/>
      <c r="T9" s="3"/>
    </row>
    <row r="10" spans="2:20" ht="14.25" customHeight="1">
      <c r="B10" s="83" t="s">
        <v>58</v>
      </c>
      <c r="C10" s="58" t="s">
        <v>59</v>
      </c>
      <c r="D10" s="129">
        <v>0.95</v>
      </c>
      <c r="E10" s="60"/>
      <c r="F10" s="84"/>
      <c r="H10" s="80"/>
      <c r="I10" s="311" t="s">
        <v>60</v>
      </c>
      <c r="K10" s="2"/>
      <c r="P10" s="3"/>
      <c r="Q10" s="3"/>
      <c r="T10" s="3"/>
    </row>
    <row r="11" spans="2:20" ht="14.25" customHeight="1">
      <c r="B11" s="83" t="s">
        <v>61</v>
      </c>
      <c r="C11" s="58" t="s">
        <v>62</v>
      </c>
      <c r="D11" s="129">
        <f>273.15+30</f>
        <v>303.14999999999998</v>
      </c>
      <c r="E11" s="60" t="s">
        <v>63</v>
      </c>
      <c r="F11" s="84" t="s">
        <v>64</v>
      </c>
      <c r="K11" s="2"/>
      <c r="P11" s="3"/>
      <c r="Q11" s="3"/>
      <c r="T11" s="3"/>
    </row>
    <row r="12" spans="2:20" ht="14.25" customHeight="1">
      <c r="B12" s="83" t="s">
        <v>65</v>
      </c>
      <c r="C12" s="58" t="s">
        <v>66</v>
      </c>
      <c r="D12" s="59">
        <v>50</v>
      </c>
      <c r="E12" s="60" t="s">
        <v>67</v>
      </c>
      <c r="F12" s="84"/>
      <c r="H12" s="177" t="s">
        <v>68</v>
      </c>
      <c r="K12" s="2"/>
      <c r="P12" s="3"/>
      <c r="Q12" s="3"/>
      <c r="T12" s="3"/>
    </row>
    <row r="13" spans="2:20" ht="14.25" customHeight="1" thickBot="1">
      <c r="B13" s="1"/>
      <c r="C13" s="1"/>
      <c r="D13" s="12"/>
      <c r="H13" s="176"/>
      <c r="I13" s="311" t="s">
        <v>69</v>
      </c>
      <c r="K13" s="2"/>
      <c r="P13" s="3"/>
      <c r="Q13" s="3"/>
      <c r="T13" s="3"/>
    </row>
    <row r="14" spans="2:20" ht="18.600000000000001" customHeight="1" thickBot="1">
      <c r="B14" s="442" t="s">
        <v>70</v>
      </c>
      <c r="C14" s="437"/>
      <c r="D14" s="437"/>
      <c r="E14" s="437"/>
      <c r="F14" s="438"/>
      <c r="K14" s="2"/>
      <c r="P14" s="3"/>
      <c r="Q14" s="3"/>
      <c r="T14" s="3"/>
    </row>
    <row r="15" spans="2:20" ht="14.25" customHeight="1">
      <c r="B15" s="114" t="s">
        <v>24</v>
      </c>
      <c r="C15" s="115" t="s">
        <v>25</v>
      </c>
      <c r="D15" s="116" t="s">
        <v>45</v>
      </c>
      <c r="E15" s="116" t="s">
        <v>26</v>
      </c>
      <c r="F15" s="117" t="s">
        <v>27</v>
      </c>
      <c r="K15" s="2"/>
      <c r="P15" s="3"/>
      <c r="Q15" s="3"/>
      <c r="T15" s="3"/>
    </row>
    <row r="16" spans="2:20" ht="14.25" customHeight="1">
      <c r="B16" s="81" t="s">
        <v>71</v>
      </c>
      <c r="C16" s="56" t="s">
        <v>72</v>
      </c>
      <c r="D16" s="68">
        <v>4.0000000000000001E-3</v>
      </c>
      <c r="E16" s="57" t="s">
        <v>29</v>
      </c>
      <c r="F16" s="82"/>
      <c r="P16" s="3"/>
      <c r="Q16" s="3"/>
      <c r="T16" s="3"/>
    </row>
    <row r="17" spans="2:20" ht="14.25" customHeight="1">
      <c r="B17" s="90" t="s">
        <v>73</v>
      </c>
      <c r="C17" s="179" t="s">
        <v>74</v>
      </c>
      <c r="D17" s="312">
        <v>70.099999999999994</v>
      </c>
      <c r="E17" s="71" t="s">
        <v>63</v>
      </c>
      <c r="F17" s="91"/>
      <c r="P17" s="3"/>
      <c r="Q17" s="3"/>
      <c r="T17" s="3"/>
    </row>
    <row r="18" spans="2:20" ht="14.25" customHeight="1">
      <c r="B18" s="81" t="s">
        <v>75</v>
      </c>
      <c r="C18" s="56" t="s">
        <v>76</v>
      </c>
      <c r="D18" s="220">
        <v>293.7</v>
      </c>
      <c r="E18" s="57" t="s">
        <v>28</v>
      </c>
      <c r="F18" s="82"/>
      <c r="P18" s="3"/>
      <c r="Q18" s="3"/>
      <c r="T18" s="3"/>
    </row>
    <row r="19" spans="2:20" ht="14.25" customHeight="1">
      <c r="B19" s="81" t="s">
        <v>77</v>
      </c>
      <c r="C19" s="56" t="s">
        <v>78</v>
      </c>
      <c r="D19" s="220">
        <v>0.8</v>
      </c>
      <c r="E19" s="57"/>
      <c r="F19" s="314">
        <v>0.8</v>
      </c>
      <c r="P19" s="3"/>
      <c r="Q19" s="3"/>
      <c r="T19" s="3"/>
    </row>
    <row r="20" spans="2:20" ht="14.25" customHeight="1">
      <c r="B20" s="83" t="s">
        <v>79</v>
      </c>
      <c r="C20" s="58" t="s">
        <v>80</v>
      </c>
      <c r="D20" s="59">
        <v>2</v>
      </c>
      <c r="E20" s="60"/>
      <c r="F20" s="84"/>
      <c r="P20" s="3"/>
      <c r="Q20" s="3"/>
      <c r="T20" s="3"/>
    </row>
    <row r="21" spans="2:20" ht="14.25" customHeight="1">
      <c r="B21" s="83" t="s">
        <v>81</v>
      </c>
      <c r="C21" s="58" t="s">
        <v>82</v>
      </c>
      <c r="D21" s="59">
        <v>1</v>
      </c>
      <c r="E21" s="60"/>
      <c r="F21" s="84"/>
      <c r="P21" s="3"/>
      <c r="Q21" s="3"/>
      <c r="T21" s="3"/>
    </row>
    <row r="22" spans="2:20" ht="14.25" customHeight="1">
      <c r="B22" s="83" t="s">
        <v>83</v>
      </c>
      <c r="C22" s="58" t="s">
        <v>84</v>
      </c>
      <c r="D22" s="59">
        <v>1</v>
      </c>
      <c r="E22" s="60"/>
      <c r="F22" s="84"/>
      <c r="P22" s="3"/>
      <c r="Q22" s="3"/>
      <c r="T22" s="3"/>
    </row>
    <row r="23" spans="2:20" ht="14.25" customHeight="1">
      <c r="B23" s="85" t="s">
        <v>85</v>
      </c>
      <c r="C23" s="75" t="s">
        <v>86</v>
      </c>
      <c r="D23" s="77">
        <f>'3.0-HTS Cable design'!D23</f>
        <v>3.39E-2</v>
      </c>
      <c r="E23" s="74" t="s">
        <v>29</v>
      </c>
      <c r="F23" s="86"/>
      <c r="K23" s="2"/>
      <c r="P23" s="3"/>
      <c r="Q23" s="3"/>
      <c r="T23" s="3"/>
    </row>
    <row r="24" spans="2:20" ht="14.25" customHeight="1">
      <c r="B24" s="85" t="s">
        <v>87</v>
      </c>
      <c r="C24" s="75" t="s">
        <v>88</v>
      </c>
      <c r="D24" s="73">
        <f>'3.0-HTS Cable design'!D26</f>
        <v>3.4099999999999998E-2</v>
      </c>
      <c r="E24" s="74" t="s">
        <v>29</v>
      </c>
      <c r="F24" s="86"/>
      <c r="K24" s="2"/>
      <c r="P24" s="3"/>
      <c r="Q24" s="3"/>
      <c r="T24" s="3"/>
    </row>
    <row r="25" spans="2:20" ht="14.25" customHeight="1">
      <c r="B25" s="85" t="s">
        <v>89</v>
      </c>
      <c r="C25" s="75" t="s">
        <v>90</v>
      </c>
      <c r="D25" s="77">
        <f>'3.0-HTS Cable design'!D30</f>
        <v>4.8620805120994447E-2</v>
      </c>
      <c r="E25" s="74" t="s">
        <v>29</v>
      </c>
      <c r="F25" s="86"/>
      <c r="H25" s="2"/>
      <c r="K25" s="2"/>
      <c r="P25" s="3"/>
      <c r="Q25" s="3"/>
      <c r="T25" s="3"/>
    </row>
    <row r="26" spans="2:20" ht="14.25" customHeight="1">
      <c r="B26" s="85" t="s">
        <v>91</v>
      </c>
      <c r="C26" s="75" t="s">
        <v>92</v>
      </c>
      <c r="D26" s="73">
        <f>'3.0-HTS Cable design'!D34</f>
        <v>6.2376008207268359E-2</v>
      </c>
      <c r="E26" s="74" t="s">
        <v>29</v>
      </c>
      <c r="F26" s="87"/>
      <c r="H26" s="2"/>
      <c r="K26" s="2"/>
      <c r="P26" s="3"/>
      <c r="Q26" s="3"/>
      <c r="T26" s="3"/>
    </row>
    <row r="27" spans="2:20" ht="14.25" customHeight="1">
      <c r="B27" s="83" t="s">
        <v>93</v>
      </c>
      <c r="C27" s="58" t="s">
        <v>94</v>
      </c>
      <c r="D27" s="61">
        <v>11</v>
      </c>
      <c r="E27" s="60" t="s">
        <v>95</v>
      </c>
      <c r="F27" s="88"/>
      <c r="H27" s="2"/>
      <c r="K27" s="2"/>
      <c r="P27" s="3"/>
      <c r="Q27" s="3"/>
      <c r="T27" s="3"/>
    </row>
    <row r="28" spans="2:20" ht="14.25" customHeight="1">
      <c r="B28" s="83" t="s">
        <v>96</v>
      </c>
      <c r="C28" s="62" t="s">
        <v>97</v>
      </c>
      <c r="D28" s="61">
        <v>15</v>
      </c>
      <c r="E28" s="60" t="s">
        <v>95</v>
      </c>
      <c r="F28" s="88"/>
      <c r="H28" s="2"/>
      <c r="K28" s="2"/>
      <c r="P28" s="3"/>
      <c r="Q28" s="3"/>
      <c r="T28" s="3"/>
    </row>
    <row r="29" spans="2:20" ht="14.25" customHeight="1">
      <c r="B29" s="83" t="s">
        <v>98</v>
      </c>
      <c r="C29" s="58" t="s">
        <v>99</v>
      </c>
      <c r="D29" s="61">
        <f>-13</f>
        <v>-13</v>
      </c>
      <c r="E29" s="60" t="s">
        <v>95</v>
      </c>
      <c r="F29" s="88"/>
      <c r="H29" s="2"/>
      <c r="K29" s="2"/>
      <c r="P29" s="3"/>
      <c r="Q29" s="3"/>
      <c r="T29" s="3"/>
    </row>
    <row r="30" spans="2:20" ht="14.25" customHeight="1">
      <c r="B30" s="83" t="s">
        <v>100</v>
      </c>
      <c r="C30" s="58" t="s">
        <v>101</v>
      </c>
      <c r="D30" s="61">
        <f>-14</f>
        <v>-14</v>
      </c>
      <c r="E30" s="60" t="s">
        <v>95</v>
      </c>
      <c r="F30" s="88"/>
      <c r="H30" s="2"/>
      <c r="K30" s="2"/>
      <c r="P30" s="3"/>
      <c r="Q30" s="3"/>
      <c r="T30" s="3"/>
    </row>
    <row r="31" spans="2:20" ht="14.25" customHeight="1">
      <c r="B31" s="85" t="s">
        <v>102</v>
      </c>
      <c r="C31" s="75" t="s">
        <v>103</v>
      </c>
      <c r="D31" s="76">
        <f>'3.0-HTS Cable design'!P24</f>
        <v>52</v>
      </c>
      <c r="E31" s="74"/>
      <c r="F31" s="89" t="s">
        <v>104</v>
      </c>
      <c r="H31" s="2"/>
      <c r="K31" s="2"/>
      <c r="P31" s="3"/>
      <c r="Q31" s="3"/>
      <c r="T31" s="3"/>
    </row>
    <row r="32" spans="2:20" ht="14.25" customHeight="1">
      <c r="B32" s="85" t="s">
        <v>105</v>
      </c>
      <c r="C32" s="75" t="s">
        <v>106</v>
      </c>
      <c r="D32" s="76">
        <f>'3.0-HTS Cable design'!P25</f>
        <v>52</v>
      </c>
      <c r="E32" s="74"/>
      <c r="F32" s="89" t="s">
        <v>107</v>
      </c>
      <c r="H32" s="2"/>
      <c r="K32" s="2"/>
      <c r="P32" s="3"/>
      <c r="Q32" s="3"/>
      <c r="T32" s="3"/>
    </row>
    <row r="33" spans="2:20" ht="14.25" customHeight="1">
      <c r="B33" s="85" t="s">
        <v>108</v>
      </c>
      <c r="C33" s="75" t="s">
        <v>109</v>
      </c>
      <c r="D33" s="76">
        <f>'3.0-HTS Cable design'!P26</f>
        <v>74</v>
      </c>
      <c r="E33" s="74"/>
      <c r="F33" s="89" t="s">
        <v>110</v>
      </c>
      <c r="H33" s="2"/>
      <c r="K33" s="2"/>
      <c r="P33" s="3"/>
      <c r="Q33" s="3"/>
      <c r="T33" s="3"/>
    </row>
    <row r="34" spans="2:20" ht="14.25" customHeight="1" thickBot="1">
      <c r="B34" s="94" t="s">
        <v>111</v>
      </c>
      <c r="C34" s="95" t="s">
        <v>112</v>
      </c>
      <c r="D34" s="76">
        <f>'3.0-HTS Cable design'!P27</f>
        <v>95</v>
      </c>
      <c r="E34" s="96"/>
      <c r="F34" s="97" t="s">
        <v>113</v>
      </c>
      <c r="H34" s="2"/>
      <c r="K34" s="2"/>
      <c r="P34" s="3"/>
      <c r="Q34" s="3"/>
      <c r="T34" s="3"/>
    </row>
    <row r="35" spans="2:20" ht="14.25" customHeight="1">
      <c r="B35" s="111" t="s">
        <v>30</v>
      </c>
      <c r="C35" s="112" t="s">
        <v>25</v>
      </c>
      <c r="D35" s="112" t="s">
        <v>45</v>
      </c>
      <c r="E35" s="112" t="s">
        <v>26</v>
      </c>
      <c r="F35" s="113" t="s">
        <v>27</v>
      </c>
      <c r="H35" s="2"/>
      <c r="K35" s="2"/>
      <c r="P35" s="3"/>
      <c r="Q35" s="3"/>
      <c r="T35" s="3"/>
    </row>
    <row r="36" spans="2:20" ht="14.25" customHeight="1">
      <c r="B36" s="434" t="s">
        <v>31</v>
      </c>
      <c r="C36" s="435"/>
      <c r="D36" s="435"/>
      <c r="E36" s="435"/>
      <c r="F36" s="436"/>
      <c r="H36" s="2"/>
      <c r="K36" s="2"/>
      <c r="P36" s="3"/>
      <c r="Q36" s="3"/>
      <c r="T36" s="3"/>
    </row>
    <row r="37" spans="2:20" ht="14.25" customHeight="1" thickBot="1">
      <c r="B37" s="174" t="s">
        <v>114</v>
      </c>
      <c r="C37" s="156" t="s">
        <v>115</v>
      </c>
      <c r="D37" s="161">
        <v>30</v>
      </c>
      <c r="E37" s="161" t="s">
        <v>116</v>
      </c>
      <c r="F37" s="159"/>
      <c r="H37" s="2"/>
      <c r="K37" s="2"/>
      <c r="P37" s="3"/>
      <c r="Q37" s="3"/>
      <c r="T37" s="3"/>
    </row>
    <row r="38" spans="2:20" ht="14.25" customHeight="1" thickBot="1">
      <c r="B38" s="49"/>
      <c r="C38" s="50"/>
      <c r="D38" s="51"/>
      <c r="E38" s="51"/>
      <c r="F38" s="52"/>
      <c r="H38" s="2"/>
      <c r="K38" s="2"/>
      <c r="P38" s="3"/>
      <c r="Q38" s="3"/>
      <c r="T38" s="3"/>
    </row>
    <row r="39" spans="2:20" ht="18.600000000000001" customHeight="1" thickBot="1">
      <c r="B39" s="428" t="s">
        <v>117</v>
      </c>
      <c r="C39" s="429"/>
      <c r="D39" s="429"/>
      <c r="E39" s="429"/>
      <c r="F39" s="430"/>
      <c r="H39" s="2"/>
      <c r="K39" s="2"/>
      <c r="P39" s="3"/>
      <c r="Q39" s="3"/>
      <c r="T39" s="3"/>
    </row>
    <row r="40" spans="2:20" ht="14.25" customHeight="1">
      <c r="B40" s="114" t="s">
        <v>24</v>
      </c>
      <c r="C40" s="115" t="s">
        <v>25</v>
      </c>
      <c r="D40" s="116" t="s">
        <v>45</v>
      </c>
      <c r="E40" s="116" t="s">
        <v>26</v>
      </c>
      <c r="F40" s="117" t="s">
        <v>27</v>
      </c>
      <c r="H40" s="2"/>
      <c r="K40" s="2"/>
      <c r="P40" s="3"/>
      <c r="Q40" s="3"/>
      <c r="T40" s="3"/>
    </row>
    <row r="41" spans="2:20" ht="14.25" customHeight="1">
      <c r="B41" s="85" t="s">
        <v>118</v>
      </c>
      <c r="C41" s="72" t="s">
        <v>119</v>
      </c>
      <c r="D41" s="73">
        <f>'3.0-HTS Cable design'!D38</f>
        <v>7.575487036129161E-2</v>
      </c>
      <c r="E41" s="74" t="s">
        <v>29</v>
      </c>
      <c r="F41" s="86"/>
      <c r="G41" s="6"/>
      <c r="H41" s="2"/>
      <c r="K41" s="2"/>
      <c r="P41" s="3"/>
      <c r="Q41" s="3"/>
      <c r="T41" s="3"/>
    </row>
    <row r="42" spans="2:20" ht="14.25" customHeight="1">
      <c r="B42" s="85" t="s">
        <v>120</v>
      </c>
      <c r="C42" s="72" t="s">
        <v>121</v>
      </c>
      <c r="D42" s="73">
        <f>'3.0-HTS Cable design'!D40</f>
        <v>7.7754870361291611E-2</v>
      </c>
      <c r="E42" s="74" t="s">
        <v>29</v>
      </c>
      <c r="F42" s="86"/>
      <c r="H42" s="2"/>
      <c r="K42" s="2"/>
      <c r="P42" s="3"/>
      <c r="Q42" s="3"/>
      <c r="T42" s="3"/>
    </row>
    <row r="43" spans="2:20" ht="14.25" customHeight="1">
      <c r="B43" s="81" t="s">
        <v>122</v>
      </c>
      <c r="C43" s="66" t="s">
        <v>123</v>
      </c>
      <c r="D43" s="257">
        <v>0.05</v>
      </c>
      <c r="E43" s="57" t="s">
        <v>124</v>
      </c>
      <c r="F43" s="82"/>
      <c r="H43" s="2"/>
      <c r="K43" s="2"/>
      <c r="P43" s="3"/>
      <c r="Q43" s="3"/>
      <c r="T43" s="3"/>
    </row>
    <row r="44" spans="2:20" ht="14.25" customHeight="1" thickBot="1">
      <c r="B44" s="98" t="s">
        <v>125</v>
      </c>
      <c r="C44" s="99" t="s">
        <v>126</v>
      </c>
      <c r="D44" s="100">
        <v>8850</v>
      </c>
      <c r="E44" s="101" t="s">
        <v>127</v>
      </c>
      <c r="F44" s="102"/>
      <c r="H44" s="2"/>
      <c r="K44" s="2"/>
      <c r="P44" s="3"/>
      <c r="Q44" s="3"/>
      <c r="T44" s="3"/>
    </row>
    <row r="45" spans="2:20" ht="14.25" customHeight="1">
      <c r="B45" s="111" t="s">
        <v>30</v>
      </c>
      <c r="C45" s="112" t="s">
        <v>25</v>
      </c>
      <c r="D45" s="112" t="s">
        <v>45</v>
      </c>
      <c r="E45" s="112" t="s">
        <v>26</v>
      </c>
      <c r="F45" s="113" t="s">
        <v>27</v>
      </c>
      <c r="H45" s="2"/>
      <c r="K45" s="2"/>
      <c r="P45" s="3"/>
      <c r="Q45" s="3"/>
      <c r="T45" s="3"/>
    </row>
    <row r="46" spans="2:20" ht="14.25" customHeight="1">
      <c r="B46" s="434" t="s">
        <v>31</v>
      </c>
      <c r="C46" s="435"/>
      <c r="D46" s="435"/>
      <c r="E46" s="435"/>
      <c r="F46" s="436"/>
      <c r="H46" s="2"/>
      <c r="K46" s="2"/>
      <c r="P46" s="3"/>
      <c r="Q46" s="3"/>
      <c r="T46" s="3"/>
    </row>
    <row r="47" spans="2:20" ht="14.25" customHeight="1" thickBot="1">
      <c r="B47" s="174" t="s">
        <v>128</v>
      </c>
      <c r="C47" s="175" t="s">
        <v>129</v>
      </c>
      <c r="D47" s="161">
        <v>7</v>
      </c>
      <c r="E47" s="161" t="s">
        <v>130</v>
      </c>
      <c r="F47" s="159"/>
      <c r="H47" s="2"/>
      <c r="K47" s="2"/>
      <c r="P47" s="3"/>
      <c r="Q47" s="3"/>
      <c r="T47" s="3"/>
    </row>
    <row r="48" spans="2:20" ht="14.25" customHeight="1" thickBot="1">
      <c r="B48" s="49"/>
      <c r="C48" s="50"/>
      <c r="D48" s="51"/>
      <c r="E48" s="51"/>
      <c r="F48" s="52"/>
      <c r="H48" s="2"/>
      <c r="K48" s="2"/>
      <c r="P48" s="3"/>
      <c r="Q48" s="3"/>
      <c r="T48" s="3"/>
    </row>
    <row r="49" spans="2:20" ht="18.600000000000001" customHeight="1" thickBot="1">
      <c r="B49" s="428" t="s">
        <v>131</v>
      </c>
      <c r="C49" s="429"/>
      <c r="D49" s="429"/>
      <c r="E49" s="429"/>
      <c r="F49" s="430"/>
      <c r="H49" s="2"/>
      <c r="K49" s="2"/>
      <c r="P49" s="3"/>
      <c r="Q49" s="3"/>
      <c r="T49" s="3"/>
    </row>
    <row r="50" spans="2:20" ht="14.25" customHeight="1">
      <c r="B50" s="114" t="s">
        <v>24</v>
      </c>
      <c r="C50" s="115" t="s">
        <v>25</v>
      </c>
      <c r="D50" s="116" t="s">
        <v>45</v>
      </c>
      <c r="E50" s="116" t="s">
        <v>26</v>
      </c>
      <c r="F50" s="117" t="s">
        <v>27</v>
      </c>
      <c r="H50" s="2"/>
      <c r="K50" s="2"/>
      <c r="P50" s="3"/>
      <c r="Q50" s="3"/>
      <c r="T50" s="3"/>
    </row>
    <row r="51" spans="2:20" ht="14.25" customHeight="1">
      <c r="B51" s="85" t="s">
        <v>132</v>
      </c>
      <c r="C51" s="72" t="s">
        <v>133</v>
      </c>
      <c r="D51" s="73">
        <f>'3.0-HTS Cable design'!D27</f>
        <v>3.4249999999999996E-2</v>
      </c>
      <c r="E51" s="74" t="s">
        <v>29</v>
      </c>
      <c r="F51" s="86"/>
      <c r="G51" s="6"/>
      <c r="H51" s="2"/>
      <c r="K51" s="2"/>
      <c r="P51" s="3"/>
      <c r="Q51" s="3"/>
      <c r="T51" s="3"/>
    </row>
    <row r="52" spans="2:20" ht="14.25" customHeight="1">
      <c r="B52" s="85" t="s">
        <v>134</v>
      </c>
      <c r="C52" s="72" t="s">
        <v>135</v>
      </c>
      <c r="D52" s="73">
        <f>'3.0-HTS Cable design'!D29</f>
        <v>4.8620805120994447E-2</v>
      </c>
      <c r="E52" s="74" t="s">
        <v>29</v>
      </c>
      <c r="F52" s="86"/>
      <c r="H52" s="2"/>
      <c r="K52" s="2"/>
      <c r="P52" s="3"/>
      <c r="Q52" s="3"/>
      <c r="T52" s="3"/>
    </row>
    <row r="53" spans="2:20" ht="14.25" customHeight="1">
      <c r="B53" s="85" t="s">
        <v>136</v>
      </c>
      <c r="C53" s="72" t="s">
        <v>137</v>
      </c>
      <c r="D53" s="73">
        <f>'3.0-HTS Cable design'!D31</f>
        <v>4.8770805120994444E-2</v>
      </c>
      <c r="E53" s="74" t="s">
        <v>29</v>
      </c>
      <c r="F53" s="86"/>
      <c r="H53" s="2"/>
      <c r="K53" s="2"/>
      <c r="P53" s="3"/>
      <c r="Q53" s="3"/>
      <c r="T53" s="3"/>
    </row>
    <row r="54" spans="2:20" ht="14.25" customHeight="1">
      <c r="B54" s="85" t="s">
        <v>138</v>
      </c>
      <c r="C54" s="72" t="s">
        <v>139</v>
      </c>
      <c r="D54" s="73">
        <f>'3.0-HTS Cable design'!D33</f>
        <v>6.2376008207268359E-2</v>
      </c>
      <c r="E54" s="74" t="s">
        <v>29</v>
      </c>
      <c r="F54" s="86"/>
      <c r="H54" s="2"/>
      <c r="K54" s="2"/>
      <c r="P54" s="3"/>
      <c r="Q54" s="3"/>
      <c r="T54" s="3"/>
    </row>
    <row r="55" spans="2:20" ht="14.25" customHeight="1">
      <c r="B55" s="85" t="s">
        <v>140</v>
      </c>
      <c r="C55" s="72" t="s">
        <v>141</v>
      </c>
      <c r="D55" s="73">
        <f>'3.0-HTS Cable design'!D35</f>
        <v>6.2526008207268363E-2</v>
      </c>
      <c r="E55" s="74" t="s">
        <v>29</v>
      </c>
      <c r="F55" s="86"/>
      <c r="H55" s="2"/>
      <c r="K55" s="2"/>
      <c r="P55" s="3"/>
      <c r="Q55" s="3"/>
      <c r="T55" s="3"/>
    </row>
    <row r="56" spans="2:20" ht="14.25" customHeight="1">
      <c r="B56" s="85" t="s">
        <v>142</v>
      </c>
      <c r="C56" s="72" t="s">
        <v>143</v>
      </c>
      <c r="D56" s="73">
        <f>'3.0-HTS Cable design'!D37</f>
        <v>7.575487036129161E-2</v>
      </c>
      <c r="E56" s="74" t="s">
        <v>29</v>
      </c>
      <c r="F56" s="86"/>
      <c r="H56" s="2"/>
      <c r="K56" s="2"/>
      <c r="P56" s="3"/>
      <c r="Q56" s="3"/>
      <c r="T56" s="3"/>
    </row>
    <row r="57" spans="2:20" ht="14.25" customHeight="1">
      <c r="B57" s="103" t="s">
        <v>144</v>
      </c>
      <c r="C57" s="99" t="s">
        <v>145</v>
      </c>
      <c r="D57" s="246">
        <v>5.9999999999999995E-4</v>
      </c>
      <c r="E57" s="101"/>
      <c r="F57" s="104"/>
      <c r="H57" s="2"/>
      <c r="K57" s="2"/>
      <c r="P57" s="3"/>
      <c r="Q57" s="3"/>
      <c r="T57" s="3"/>
    </row>
    <row r="58" spans="2:20" ht="14.25" customHeight="1">
      <c r="B58" s="103" t="s">
        <v>146</v>
      </c>
      <c r="C58" s="99" t="s">
        <v>147</v>
      </c>
      <c r="D58" s="100">
        <v>2.21</v>
      </c>
      <c r="E58" s="101"/>
      <c r="F58" s="104"/>
      <c r="H58" s="2"/>
      <c r="K58" s="2"/>
      <c r="P58" s="3"/>
      <c r="Q58" s="3"/>
      <c r="T58" s="3"/>
    </row>
    <row r="59" spans="2:20" ht="14.25" customHeight="1" thickBot="1">
      <c r="B59" s="103" t="s">
        <v>148</v>
      </c>
      <c r="C59" s="99" t="s">
        <v>149</v>
      </c>
      <c r="D59" s="100">
        <v>900</v>
      </c>
      <c r="E59" s="101" t="s">
        <v>127</v>
      </c>
      <c r="F59" s="104" t="s">
        <v>150</v>
      </c>
      <c r="H59" s="2"/>
      <c r="K59" s="2"/>
      <c r="P59" s="3"/>
      <c r="Q59" s="3"/>
      <c r="T59" s="3"/>
    </row>
    <row r="60" spans="2:20" ht="14.25" customHeight="1">
      <c r="B60" s="111" t="s">
        <v>30</v>
      </c>
      <c r="C60" s="112" t="s">
        <v>25</v>
      </c>
      <c r="D60" s="112" t="s">
        <v>45</v>
      </c>
      <c r="E60" s="112" t="s">
        <v>26</v>
      </c>
      <c r="F60" s="113" t="s">
        <v>27</v>
      </c>
      <c r="H60" s="2"/>
      <c r="K60" s="2"/>
      <c r="P60" s="3"/>
      <c r="Q60" s="3"/>
      <c r="T60" s="3"/>
    </row>
    <row r="61" spans="2:20" ht="14.25" customHeight="1">
      <c r="B61" s="434" t="s">
        <v>31</v>
      </c>
      <c r="C61" s="435"/>
      <c r="D61" s="435"/>
      <c r="E61" s="435"/>
      <c r="F61" s="436"/>
      <c r="H61" s="2"/>
      <c r="K61" s="2"/>
      <c r="P61" s="3"/>
      <c r="Q61" s="3"/>
      <c r="T61" s="3"/>
    </row>
    <row r="62" spans="2:20" ht="14.25" customHeight="1" thickBot="1">
      <c r="B62" s="160" t="s">
        <v>151</v>
      </c>
      <c r="C62" s="156" t="s">
        <v>152</v>
      </c>
      <c r="D62" s="161">
        <v>10</v>
      </c>
      <c r="E62" s="161" t="s">
        <v>130</v>
      </c>
      <c r="F62" s="159"/>
      <c r="H62" s="2"/>
      <c r="K62" s="2"/>
      <c r="P62" s="3"/>
      <c r="Q62" s="3"/>
      <c r="T62" s="3"/>
    </row>
    <row r="63" spans="2:20" ht="14.25" customHeight="1" thickBot="1">
      <c r="B63" s="49"/>
      <c r="C63" s="50"/>
      <c r="D63" s="51"/>
      <c r="E63" s="51"/>
      <c r="F63" s="52"/>
      <c r="H63" s="2"/>
      <c r="K63" s="2"/>
      <c r="P63" s="3"/>
      <c r="Q63" s="3"/>
      <c r="T63" s="3"/>
    </row>
    <row r="64" spans="2:20" ht="18.600000000000001" customHeight="1" thickBot="1">
      <c r="B64" s="428" t="s">
        <v>153</v>
      </c>
      <c r="C64" s="429"/>
      <c r="D64" s="429"/>
      <c r="E64" s="429"/>
      <c r="F64" s="430"/>
      <c r="H64" s="2"/>
      <c r="K64" s="2"/>
      <c r="P64" s="3"/>
      <c r="Q64" s="3"/>
      <c r="T64" s="3"/>
    </row>
    <row r="65" spans="2:20" ht="14.25" customHeight="1">
      <c r="B65" s="114" t="s">
        <v>24</v>
      </c>
      <c r="C65" s="115" t="s">
        <v>25</v>
      </c>
      <c r="D65" s="116" t="s">
        <v>45</v>
      </c>
      <c r="E65" s="116" t="s">
        <v>26</v>
      </c>
      <c r="F65" s="117" t="s">
        <v>27</v>
      </c>
      <c r="H65" s="2"/>
      <c r="K65" s="2"/>
      <c r="P65" s="3"/>
      <c r="Q65" s="3"/>
      <c r="T65" s="3"/>
    </row>
    <row r="66" spans="2:20" ht="14.25" customHeight="1">
      <c r="B66" s="83" t="s">
        <v>154</v>
      </c>
      <c r="C66" s="63" t="s">
        <v>155</v>
      </c>
      <c r="D66" s="64">
        <v>0.03</v>
      </c>
      <c r="E66" s="60" t="s">
        <v>29</v>
      </c>
      <c r="F66" s="84"/>
      <c r="H66" s="2"/>
      <c r="K66" s="2"/>
      <c r="P66" s="3"/>
      <c r="Q66" s="3"/>
      <c r="T66" s="3"/>
    </row>
    <row r="67" spans="2:20" ht="14.25" customHeight="1">
      <c r="B67" s="85" t="s">
        <v>156</v>
      </c>
      <c r="C67" s="72" t="s">
        <v>157</v>
      </c>
      <c r="D67" s="73">
        <f>'3.0-HTS Cable design'!D42</f>
        <v>7.8554870361291607E-2</v>
      </c>
      <c r="E67" s="74" t="s">
        <v>29</v>
      </c>
      <c r="F67" s="86"/>
      <c r="H67" s="2"/>
      <c r="K67" s="2"/>
      <c r="P67" s="3"/>
      <c r="Q67" s="3"/>
      <c r="T67" s="3"/>
    </row>
    <row r="68" spans="2:20" ht="14.25" customHeight="1">
      <c r="B68" s="85" t="s">
        <v>158</v>
      </c>
      <c r="C68" s="72" t="s">
        <v>159</v>
      </c>
      <c r="D68" s="73">
        <f>'3.0-HTS Cable design'!D44</f>
        <v>0.1063548703612916</v>
      </c>
      <c r="E68" s="74" t="s">
        <v>29</v>
      </c>
      <c r="F68" s="86"/>
      <c r="H68" s="2"/>
      <c r="K68" s="2"/>
      <c r="P68" s="3"/>
      <c r="Q68" s="3"/>
      <c r="T68" s="3"/>
    </row>
    <row r="69" spans="2:20" ht="14.25" customHeight="1">
      <c r="B69" s="81" t="s">
        <v>160</v>
      </c>
      <c r="C69" s="99" t="s">
        <v>161</v>
      </c>
      <c r="D69" s="257">
        <v>1.4E-3</v>
      </c>
      <c r="E69" s="57" t="s">
        <v>29</v>
      </c>
      <c r="F69" s="82"/>
      <c r="H69" s="2"/>
      <c r="K69" s="2"/>
      <c r="P69" s="3"/>
      <c r="Q69" s="3"/>
      <c r="T69" s="3"/>
    </row>
    <row r="70" spans="2:20" ht="14.25" customHeight="1">
      <c r="B70" s="81" t="s">
        <v>162</v>
      </c>
      <c r="C70" s="99" t="s">
        <v>163</v>
      </c>
      <c r="D70" s="257">
        <v>1.4E-3</v>
      </c>
      <c r="E70" s="57" t="s">
        <v>29</v>
      </c>
      <c r="F70" s="82"/>
      <c r="H70" s="2"/>
      <c r="K70" s="2"/>
      <c r="P70" s="3"/>
      <c r="Q70" s="3"/>
      <c r="T70" s="3"/>
    </row>
    <row r="71" spans="2:20" ht="14.25" customHeight="1">
      <c r="B71" s="81" t="s">
        <v>164</v>
      </c>
      <c r="C71" s="303" t="s">
        <v>165</v>
      </c>
      <c r="D71" s="304">
        <v>1</v>
      </c>
      <c r="E71" s="57" t="s">
        <v>29</v>
      </c>
      <c r="F71" s="82"/>
      <c r="H71" s="2"/>
      <c r="K71" s="2"/>
      <c r="P71" s="3"/>
      <c r="Q71" s="3"/>
      <c r="T71" s="3"/>
    </row>
    <row r="72" spans="2:20" ht="14.25" customHeight="1">
      <c r="B72" s="81" t="s">
        <v>166</v>
      </c>
      <c r="C72" s="303" t="s">
        <v>167</v>
      </c>
      <c r="D72" s="304">
        <v>2662</v>
      </c>
      <c r="E72" s="57" t="s">
        <v>168</v>
      </c>
      <c r="F72" s="82"/>
      <c r="H72" s="2"/>
      <c r="K72" s="2"/>
      <c r="P72" s="3"/>
      <c r="Q72" s="3"/>
      <c r="T72" s="3"/>
    </row>
    <row r="73" spans="2:20" ht="14.25" customHeight="1">
      <c r="B73" s="81" t="s">
        <v>169</v>
      </c>
      <c r="C73" s="99" t="s">
        <v>170</v>
      </c>
      <c r="D73" s="257">
        <v>2.508E-5</v>
      </c>
      <c r="E73" s="57" t="s">
        <v>171</v>
      </c>
      <c r="F73" s="82"/>
      <c r="H73" s="2"/>
      <c r="K73" s="2"/>
      <c r="P73" s="3"/>
      <c r="Q73" s="3"/>
      <c r="T73" s="3"/>
    </row>
    <row r="74" spans="2:20" ht="14.25" customHeight="1">
      <c r="B74" s="81" t="s">
        <v>172</v>
      </c>
      <c r="C74" s="99" t="s">
        <v>173</v>
      </c>
      <c r="D74" s="67">
        <v>839</v>
      </c>
      <c r="E74" s="57" t="s">
        <v>127</v>
      </c>
      <c r="F74" s="82"/>
      <c r="H74" s="2"/>
      <c r="K74" s="2"/>
      <c r="P74" s="3"/>
      <c r="Q74" s="3"/>
      <c r="T74" s="3"/>
    </row>
    <row r="75" spans="2:20" ht="14.25" customHeight="1">
      <c r="B75" s="81" t="s">
        <v>174</v>
      </c>
      <c r="C75" s="66" t="s">
        <v>175</v>
      </c>
      <c r="D75" s="67">
        <v>1.2350000000000001</v>
      </c>
      <c r="E75" s="57" t="s">
        <v>176</v>
      </c>
      <c r="F75" s="82"/>
      <c r="H75" s="2"/>
      <c r="K75" s="2"/>
      <c r="P75" s="3"/>
      <c r="Q75" s="3"/>
      <c r="T75" s="3"/>
    </row>
    <row r="76" spans="2:20" ht="14.25" customHeight="1">
      <c r="B76" s="81" t="s">
        <v>177</v>
      </c>
      <c r="C76" s="66" t="s">
        <v>178</v>
      </c>
      <c r="D76" s="67">
        <v>68</v>
      </c>
      <c r="E76" s="57" t="s">
        <v>63</v>
      </c>
      <c r="F76" s="82"/>
      <c r="H76" s="2"/>
      <c r="K76" s="2"/>
      <c r="P76" s="3"/>
      <c r="Q76" s="3"/>
      <c r="T76" s="3"/>
    </row>
    <row r="77" spans="2:20" ht="14.25" customHeight="1">
      <c r="B77" s="90" t="s">
        <v>179</v>
      </c>
      <c r="C77" s="69" t="s">
        <v>180</v>
      </c>
      <c r="D77" s="70">
        <v>70.400000000000006</v>
      </c>
      <c r="E77" s="71" t="s">
        <v>63</v>
      </c>
      <c r="F77" s="91"/>
      <c r="H77" s="2"/>
      <c r="K77" s="2"/>
      <c r="P77" s="3"/>
      <c r="Q77" s="3"/>
      <c r="T77" s="3"/>
    </row>
    <row r="78" spans="2:20" ht="14.25" customHeight="1">
      <c r="B78" s="105" t="s">
        <v>181</v>
      </c>
      <c r="C78" s="106" t="s">
        <v>182</v>
      </c>
      <c r="D78" s="310">
        <v>10</v>
      </c>
      <c r="E78" s="108" t="s">
        <v>63</v>
      </c>
      <c r="F78" s="109"/>
      <c r="H78" s="2"/>
      <c r="K78" s="2"/>
      <c r="P78" s="3"/>
      <c r="Q78" s="3"/>
      <c r="T78" s="3"/>
    </row>
    <row r="79" spans="2:20" ht="14.25" customHeight="1">
      <c r="B79" s="105" t="s">
        <v>183</v>
      </c>
      <c r="C79" s="106" t="s">
        <v>184</v>
      </c>
      <c r="D79" s="310">
        <v>12</v>
      </c>
      <c r="E79" s="108" t="s">
        <v>185</v>
      </c>
      <c r="F79" s="109"/>
      <c r="H79" s="2"/>
      <c r="K79" s="2"/>
      <c r="P79" s="3"/>
      <c r="Q79" s="3"/>
      <c r="T79" s="3"/>
    </row>
    <row r="80" spans="2:20" ht="14.25" customHeight="1">
      <c r="B80" s="105" t="s">
        <v>186</v>
      </c>
      <c r="C80" s="106" t="s">
        <v>187</v>
      </c>
      <c r="D80" s="183">
        <v>2.7799999999999998E-2</v>
      </c>
      <c r="E80" s="108" t="s">
        <v>188</v>
      </c>
      <c r="F80" s="109"/>
      <c r="H80" s="2"/>
      <c r="K80" s="2"/>
      <c r="P80" s="3"/>
      <c r="Q80" s="3"/>
      <c r="T80" s="3"/>
    </row>
    <row r="81" spans="2:20" ht="14.25" customHeight="1" thickBot="1">
      <c r="B81" s="105" t="s">
        <v>189</v>
      </c>
      <c r="C81" s="106" t="s">
        <v>190</v>
      </c>
      <c r="D81" s="107">
        <v>2.15</v>
      </c>
      <c r="E81" s="108" t="s">
        <v>191</v>
      </c>
      <c r="F81" s="109"/>
      <c r="H81" s="2"/>
      <c r="K81" s="2"/>
      <c r="P81" s="3"/>
      <c r="Q81" s="3"/>
      <c r="T81" s="3"/>
    </row>
    <row r="82" spans="2:20" ht="14.25" customHeight="1">
      <c r="B82" s="111" t="s">
        <v>30</v>
      </c>
      <c r="C82" s="112" t="s">
        <v>25</v>
      </c>
      <c r="D82" s="112" t="s">
        <v>45</v>
      </c>
      <c r="E82" s="112" t="s">
        <v>26</v>
      </c>
      <c r="F82" s="113" t="s">
        <v>27</v>
      </c>
      <c r="H82" s="2"/>
      <c r="K82" s="2"/>
      <c r="P82" s="3"/>
      <c r="Q82" s="3"/>
      <c r="T82" s="3"/>
    </row>
    <row r="83" spans="2:20" ht="14.25" customHeight="1">
      <c r="B83" s="434" t="s">
        <v>31</v>
      </c>
      <c r="C83" s="435"/>
      <c r="D83" s="435"/>
      <c r="E83" s="435"/>
      <c r="F83" s="436"/>
      <c r="H83" s="2"/>
      <c r="K83" s="2"/>
      <c r="P83" s="3"/>
      <c r="Q83" s="3"/>
      <c r="T83" s="3"/>
    </row>
    <row r="84" spans="2:20" ht="14.25" customHeight="1" thickBot="1">
      <c r="B84" s="160" t="s">
        <v>192</v>
      </c>
      <c r="C84" s="156" t="s">
        <v>193</v>
      </c>
      <c r="D84" s="161">
        <v>0.16</v>
      </c>
      <c r="E84" s="158" t="s">
        <v>194</v>
      </c>
      <c r="F84" s="159"/>
      <c r="H84" s="2"/>
      <c r="K84" s="2"/>
      <c r="P84" s="3"/>
      <c r="Q84" s="3"/>
      <c r="T84" s="3"/>
    </row>
    <row r="85" spans="2:20" ht="14.25" customHeight="1" thickBot="1">
      <c r="B85" s="49"/>
      <c r="C85" s="50"/>
      <c r="D85" s="51"/>
      <c r="E85" s="51"/>
      <c r="F85" s="52"/>
      <c r="H85" s="2"/>
      <c r="K85" s="2"/>
      <c r="P85" s="3"/>
      <c r="Q85" s="3"/>
      <c r="T85" s="3"/>
    </row>
    <row r="86" spans="2:20" ht="18.600000000000001" customHeight="1" thickBot="1">
      <c r="B86" s="428" t="s">
        <v>195</v>
      </c>
      <c r="C86" s="429"/>
      <c r="D86" s="429"/>
      <c r="E86" s="429"/>
      <c r="F86" s="430"/>
      <c r="H86" s="2"/>
      <c r="K86" s="2"/>
      <c r="P86" s="3"/>
      <c r="Q86" s="3"/>
      <c r="T86" s="3"/>
    </row>
    <row r="87" spans="2:20" ht="14.25" customHeight="1">
      <c r="B87" s="118" t="s">
        <v>24</v>
      </c>
      <c r="C87" s="119" t="s">
        <v>25</v>
      </c>
      <c r="D87" s="120" t="s">
        <v>45</v>
      </c>
      <c r="E87" s="120" t="s">
        <v>26</v>
      </c>
      <c r="F87" s="121" t="s">
        <v>27</v>
      </c>
      <c r="H87" s="2"/>
      <c r="K87" s="2"/>
      <c r="P87" s="3"/>
      <c r="Q87" s="3"/>
      <c r="T87" s="3"/>
    </row>
    <row r="88" spans="2:20" ht="14.25" customHeight="1" thickBot="1">
      <c r="B88" s="81" t="s">
        <v>196</v>
      </c>
      <c r="C88" s="258" t="s">
        <v>197</v>
      </c>
      <c r="D88" s="257">
        <v>4.0000000000000002E-4</v>
      </c>
      <c r="E88" s="57" t="s">
        <v>198</v>
      </c>
      <c r="F88" s="82"/>
      <c r="H88" s="2"/>
      <c r="K88" s="2"/>
      <c r="P88" s="3"/>
      <c r="Q88" s="3"/>
      <c r="T88" s="3"/>
    </row>
    <row r="89" spans="2:20" ht="14.25" customHeight="1">
      <c r="B89" s="111" t="s">
        <v>30</v>
      </c>
      <c r="C89" s="112" t="s">
        <v>25</v>
      </c>
      <c r="D89" s="112" t="s">
        <v>45</v>
      </c>
      <c r="E89" s="112" t="s">
        <v>26</v>
      </c>
      <c r="F89" s="113" t="s">
        <v>27</v>
      </c>
      <c r="H89" s="2"/>
      <c r="K89" s="2"/>
      <c r="P89" s="3"/>
      <c r="Q89" s="3"/>
      <c r="T89" s="3"/>
    </row>
    <row r="90" spans="2:20" ht="14.25" customHeight="1">
      <c r="B90" s="434" t="s">
        <v>31</v>
      </c>
      <c r="C90" s="435"/>
      <c r="D90" s="435"/>
      <c r="E90" s="435"/>
      <c r="F90" s="436"/>
      <c r="H90" s="2"/>
      <c r="K90" s="2"/>
      <c r="P90" s="3"/>
      <c r="Q90" s="3"/>
      <c r="T90" s="3"/>
    </row>
    <row r="91" spans="2:20" ht="14.25" customHeight="1" thickBot="1">
      <c r="B91" s="160" t="s">
        <v>199</v>
      </c>
      <c r="C91" s="156" t="s">
        <v>200</v>
      </c>
      <c r="D91" s="157">
        <v>220000</v>
      </c>
      <c r="E91" s="158" t="s">
        <v>201</v>
      </c>
      <c r="F91" s="159"/>
      <c r="H91" s="2"/>
      <c r="K91" s="2"/>
      <c r="P91" s="3"/>
      <c r="Q91" s="3"/>
      <c r="T91" s="3"/>
    </row>
    <row r="92" spans="2:20" ht="14.25" customHeight="1" thickBot="1">
      <c r="B92" s="54"/>
      <c r="C92" s="50"/>
      <c r="D92" s="55"/>
      <c r="E92" s="55"/>
      <c r="F92" s="52"/>
      <c r="H92" s="2"/>
      <c r="K92" s="2"/>
      <c r="P92" s="3"/>
      <c r="Q92" s="3"/>
      <c r="T92" s="3"/>
    </row>
    <row r="93" spans="2:20" ht="18.600000000000001" customHeight="1" thickBot="1">
      <c r="B93" s="428" t="s">
        <v>202</v>
      </c>
      <c r="C93" s="437"/>
      <c r="D93" s="437"/>
      <c r="E93" s="437"/>
      <c r="F93" s="438"/>
      <c r="H93" s="2"/>
      <c r="K93" s="2"/>
      <c r="P93" s="3"/>
      <c r="Q93" s="3"/>
      <c r="T93" s="3"/>
    </row>
    <row r="94" spans="2:20" ht="14.25" customHeight="1">
      <c r="B94" s="114" t="s">
        <v>24</v>
      </c>
      <c r="C94" s="115" t="s">
        <v>25</v>
      </c>
      <c r="D94" s="116" t="s">
        <v>45</v>
      </c>
      <c r="E94" s="116" t="s">
        <v>26</v>
      </c>
      <c r="F94" s="117" t="s">
        <v>27</v>
      </c>
      <c r="H94" s="2"/>
      <c r="K94" s="2"/>
      <c r="P94" s="3"/>
      <c r="Q94" s="3"/>
      <c r="T94" s="3"/>
    </row>
    <row r="95" spans="2:20" ht="14.25" customHeight="1">
      <c r="B95" s="81" t="s">
        <v>203</v>
      </c>
      <c r="C95" s="258" t="s">
        <v>204</v>
      </c>
      <c r="D95" s="257">
        <v>6</v>
      </c>
      <c r="E95" s="57"/>
      <c r="F95" s="82"/>
      <c r="H95" s="2"/>
      <c r="K95" s="2"/>
      <c r="P95" s="3"/>
      <c r="Q95" s="3"/>
      <c r="T95" s="3"/>
    </row>
    <row r="96" spans="2:20" ht="14.25" customHeight="1" thickBot="1">
      <c r="B96" s="81" t="s">
        <v>205</v>
      </c>
      <c r="C96" s="258" t="s">
        <v>206</v>
      </c>
      <c r="D96" s="257">
        <v>45</v>
      </c>
      <c r="E96" s="57" t="s">
        <v>207</v>
      </c>
      <c r="F96" s="82"/>
      <c r="H96" s="2"/>
      <c r="K96" s="2"/>
      <c r="P96" s="3"/>
      <c r="Q96" s="3"/>
      <c r="T96" s="3"/>
    </row>
    <row r="97" spans="2:20" ht="14.25" customHeight="1">
      <c r="B97" s="111" t="s">
        <v>30</v>
      </c>
      <c r="C97" s="112" t="s">
        <v>25</v>
      </c>
      <c r="D97" s="112" t="s">
        <v>45</v>
      </c>
      <c r="E97" s="112" t="s">
        <v>26</v>
      </c>
      <c r="F97" s="113" t="s">
        <v>27</v>
      </c>
      <c r="H97" s="2"/>
      <c r="K97" s="2"/>
      <c r="P97" s="3"/>
      <c r="Q97" s="3"/>
      <c r="T97" s="3"/>
    </row>
    <row r="98" spans="2:20" ht="14.25" customHeight="1">
      <c r="B98" s="434" t="s">
        <v>31</v>
      </c>
      <c r="C98" s="435"/>
      <c r="D98" s="435"/>
      <c r="E98" s="435"/>
      <c r="F98" s="436"/>
      <c r="H98" s="2"/>
      <c r="K98" s="2"/>
      <c r="P98" s="3"/>
      <c r="Q98" s="3"/>
      <c r="T98" s="3"/>
    </row>
    <row r="99" spans="2:20" ht="14.25" customHeight="1" thickBot="1">
      <c r="B99" s="160" t="s">
        <v>208</v>
      </c>
      <c r="C99" s="156" t="s">
        <v>209</v>
      </c>
      <c r="D99" s="157">
        <v>400000</v>
      </c>
      <c r="E99" s="162" t="s">
        <v>32</v>
      </c>
      <c r="F99" s="163"/>
      <c r="H99" s="2"/>
      <c r="K99" s="2"/>
      <c r="P99" s="3"/>
      <c r="Q99" s="3"/>
      <c r="T99" s="3"/>
    </row>
    <row r="100" spans="2:20" ht="14.25" customHeight="1" thickBot="1">
      <c r="B100" s="54"/>
      <c r="C100" s="50"/>
      <c r="D100" s="55"/>
      <c r="E100" s="55"/>
      <c r="F100" s="52"/>
      <c r="H100" s="2"/>
      <c r="K100" s="2"/>
      <c r="P100" s="3"/>
      <c r="Q100" s="3"/>
      <c r="T100" s="3"/>
    </row>
    <row r="101" spans="2:20" ht="21" customHeight="1" thickBot="1">
      <c r="B101" s="428" t="s">
        <v>210</v>
      </c>
      <c r="C101" s="437"/>
      <c r="D101" s="437"/>
      <c r="E101" s="437"/>
      <c r="F101" s="438"/>
      <c r="H101" s="2"/>
      <c r="K101" s="2"/>
      <c r="P101" s="3"/>
      <c r="Q101" s="3"/>
      <c r="T101" s="3"/>
    </row>
    <row r="102" spans="2:20" ht="14.25" customHeight="1">
      <c r="B102" s="114" t="s">
        <v>24</v>
      </c>
      <c r="C102" s="115" t="s">
        <v>25</v>
      </c>
      <c r="D102" s="116" t="s">
        <v>45</v>
      </c>
      <c r="E102" s="116" t="s">
        <v>26</v>
      </c>
      <c r="F102" s="117" t="s">
        <v>27</v>
      </c>
      <c r="H102" s="2"/>
      <c r="K102" s="2"/>
      <c r="P102" s="3"/>
      <c r="Q102" s="3"/>
      <c r="T102" s="3"/>
    </row>
    <row r="103" spans="2:20" ht="14.25" customHeight="1">
      <c r="B103" s="83" t="s">
        <v>211</v>
      </c>
      <c r="C103" s="63" t="s">
        <v>212</v>
      </c>
      <c r="D103" s="65">
        <v>5</v>
      </c>
      <c r="E103" s="65"/>
      <c r="F103" s="88"/>
      <c r="H103" s="2"/>
      <c r="K103" s="2"/>
      <c r="P103" s="3"/>
      <c r="Q103" s="3"/>
      <c r="T103" s="3"/>
    </row>
    <row r="104" spans="2:20" ht="14.25" customHeight="1">
      <c r="B104" s="81" t="s">
        <v>213</v>
      </c>
      <c r="C104" s="66" t="s">
        <v>214</v>
      </c>
      <c r="D104" s="57">
        <v>0.1</v>
      </c>
      <c r="E104" s="67"/>
      <c r="F104" s="92">
        <v>0.1</v>
      </c>
      <c r="H104" s="2"/>
      <c r="K104" s="2"/>
      <c r="P104" s="3"/>
      <c r="Q104" s="3"/>
      <c r="T104" s="3"/>
    </row>
    <row r="105" spans="2:20" ht="14.25" customHeight="1" thickBot="1">
      <c r="B105" s="103" t="s">
        <v>215</v>
      </c>
      <c r="C105" s="99" t="s">
        <v>216</v>
      </c>
      <c r="D105" s="101">
        <v>0.7</v>
      </c>
      <c r="E105" s="100"/>
      <c r="F105" s="110">
        <v>0.7</v>
      </c>
      <c r="H105" s="2"/>
      <c r="K105" s="2"/>
      <c r="P105" s="3"/>
      <c r="Q105" s="3"/>
      <c r="T105" s="3"/>
    </row>
    <row r="106" spans="2:20" ht="14.25" customHeight="1">
      <c r="B106" s="111" t="s">
        <v>30</v>
      </c>
      <c r="C106" s="112" t="s">
        <v>25</v>
      </c>
      <c r="D106" s="112" t="s">
        <v>45</v>
      </c>
      <c r="E106" s="112" t="s">
        <v>26</v>
      </c>
      <c r="F106" s="113" t="s">
        <v>27</v>
      </c>
      <c r="H106" s="2"/>
      <c r="K106" s="2"/>
      <c r="P106" s="3"/>
      <c r="Q106" s="3"/>
      <c r="T106" s="3"/>
    </row>
    <row r="107" spans="2:20" ht="14.25" customHeight="1">
      <c r="B107" s="434" t="s">
        <v>31</v>
      </c>
      <c r="C107" s="446"/>
      <c r="D107" s="446"/>
      <c r="E107" s="446"/>
      <c r="F107" s="447"/>
      <c r="H107" s="2"/>
      <c r="K107" s="2"/>
      <c r="P107" s="3"/>
      <c r="Q107" s="3"/>
      <c r="T107" s="3"/>
    </row>
    <row r="108" spans="2:20" ht="14.25" customHeight="1">
      <c r="B108" s="170" t="s">
        <v>217</v>
      </c>
      <c r="C108" s="171" t="s">
        <v>218</v>
      </c>
      <c r="D108" s="172">
        <v>500000</v>
      </c>
      <c r="E108" s="167" t="s">
        <v>32</v>
      </c>
      <c r="F108" s="173"/>
      <c r="H108" s="2"/>
      <c r="K108" s="2"/>
      <c r="P108" s="3"/>
      <c r="Q108" s="3"/>
      <c r="T108" s="3"/>
    </row>
    <row r="109" spans="2:20" ht="14.25" customHeight="1">
      <c r="B109" s="164" t="s">
        <v>219</v>
      </c>
      <c r="C109" s="165" t="s">
        <v>220</v>
      </c>
      <c r="D109" s="166">
        <v>25</v>
      </c>
      <c r="E109" s="167" t="s">
        <v>221</v>
      </c>
      <c r="F109" s="168"/>
      <c r="H109" s="2"/>
      <c r="K109" s="2"/>
      <c r="P109" s="3"/>
      <c r="Q109" s="3"/>
      <c r="T109" s="3"/>
    </row>
    <row r="110" spans="2:20" ht="14.25" customHeight="1">
      <c r="B110" s="448" t="s">
        <v>34</v>
      </c>
      <c r="C110" s="446"/>
      <c r="D110" s="446"/>
      <c r="E110" s="446"/>
      <c r="F110" s="447"/>
      <c r="H110" s="2"/>
      <c r="K110" s="2"/>
      <c r="P110" s="3"/>
      <c r="Q110" s="3"/>
      <c r="T110" s="3"/>
    </row>
    <row r="111" spans="2:20" ht="14.25" customHeight="1">
      <c r="B111" s="164" t="s">
        <v>222</v>
      </c>
      <c r="C111" s="165" t="s">
        <v>223</v>
      </c>
      <c r="D111" s="166">
        <v>1.1000000000000001</v>
      </c>
      <c r="E111" s="167"/>
      <c r="F111" s="168" t="s">
        <v>224</v>
      </c>
      <c r="H111" s="2"/>
      <c r="K111" s="2"/>
      <c r="P111" s="3"/>
      <c r="Q111" s="3"/>
      <c r="T111" s="3"/>
    </row>
    <row r="112" spans="2:20" ht="14.25" customHeight="1" thickBot="1">
      <c r="B112" s="160" t="s">
        <v>225</v>
      </c>
      <c r="C112" s="156" t="s">
        <v>226</v>
      </c>
      <c r="D112" s="169">
        <v>1.1000000000000001</v>
      </c>
      <c r="E112" s="158"/>
      <c r="F112" s="168" t="s">
        <v>224</v>
      </c>
      <c r="H112" s="2"/>
      <c r="K112" s="2"/>
      <c r="P112" s="3"/>
      <c r="Q112" s="3"/>
      <c r="T112" s="3"/>
    </row>
    <row r="113" spans="2:20" ht="14.25" customHeight="1" thickBot="1">
      <c r="B113" s="54"/>
      <c r="C113" s="50"/>
      <c r="D113" s="55"/>
      <c r="E113" s="55"/>
      <c r="F113" s="52"/>
      <c r="H113" s="2"/>
      <c r="K113" s="2"/>
      <c r="P113" s="3"/>
      <c r="Q113" s="3"/>
      <c r="T113" s="3"/>
    </row>
    <row r="114" spans="2:20" ht="18.600000000000001" customHeight="1" thickBot="1">
      <c r="B114" s="442" t="s">
        <v>227</v>
      </c>
      <c r="C114" s="429"/>
      <c r="D114" s="429"/>
      <c r="E114" s="429"/>
      <c r="F114" s="430"/>
      <c r="H114" s="2"/>
      <c r="K114" s="2"/>
      <c r="P114" s="3"/>
      <c r="Q114" s="3"/>
      <c r="T114" s="3"/>
    </row>
    <row r="115" spans="2:20" ht="14.25" customHeight="1">
      <c r="B115" s="114" t="s">
        <v>24</v>
      </c>
      <c r="C115" s="115" t="s">
        <v>25</v>
      </c>
      <c r="D115" s="116" t="s">
        <v>45</v>
      </c>
      <c r="E115" s="116" t="s">
        <v>26</v>
      </c>
      <c r="F115" s="117" t="s">
        <v>27</v>
      </c>
      <c r="H115" s="2"/>
      <c r="K115" s="2"/>
      <c r="P115" s="3"/>
      <c r="Q115" s="3"/>
      <c r="T115" s="3"/>
    </row>
    <row r="116" spans="2:20" ht="14.25" customHeight="1" thickBot="1">
      <c r="B116" s="130" t="s">
        <v>228</v>
      </c>
      <c r="C116" s="131" t="s">
        <v>229</v>
      </c>
      <c r="D116" s="323">
        <v>0.3</v>
      </c>
      <c r="E116" s="132" t="s">
        <v>29</v>
      </c>
      <c r="F116" s="133" t="s">
        <v>230</v>
      </c>
      <c r="H116" s="2"/>
      <c r="K116" s="2"/>
      <c r="P116" s="3"/>
      <c r="Q116" s="3"/>
      <c r="T116" s="3"/>
    </row>
    <row r="117" spans="2:20" ht="14.25" customHeight="1">
      <c r="B117" s="111" t="s">
        <v>30</v>
      </c>
      <c r="C117" s="112" t="s">
        <v>25</v>
      </c>
      <c r="D117" s="112" t="s">
        <v>45</v>
      </c>
      <c r="E117" s="112" t="s">
        <v>26</v>
      </c>
      <c r="F117" s="113" t="s">
        <v>27</v>
      </c>
      <c r="H117" s="2"/>
      <c r="K117" s="2"/>
      <c r="P117" s="3"/>
      <c r="Q117" s="3"/>
      <c r="T117" s="3"/>
    </row>
    <row r="118" spans="2:20" ht="14.25" customHeight="1">
      <c r="B118" s="434" t="s">
        <v>31</v>
      </c>
      <c r="C118" s="435"/>
      <c r="D118" s="435"/>
      <c r="E118" s="435"/>
      <c r="F118" s="436"/>
      <c r="H118" s="2"/>
      <c r="K118" s="2"/>
      <c r="P118" s="3"/>
      <c r="Q118" s="3"/>
      <c r="T118" s="3"/>
    </row>
    <row r="119" spans="2:20" ht="14.25" customHeight="1" thickBot="1">
      <c r="B119" s="160" t="s">
        <v>231</v>
      </c>
      <c r="C119" s="156" t="s">
        <v>232</v>
      </c>
      <c r="D119" s="161">
        <v>20</v>
      </c>
      <c r="E119" s="162" t="s">
        <v>233</v>
      </c>
      <c r="F119" s="163"/>
      <c r="H119" s="2"/>
      <c r="K119" s="2"/>
      <c r="P119" s="3"/>
      <c r="Q119" s="3"/>
      <c r="T119" s="3"/>
    </row>
    <row r="120" spans="2:20" ht="14.25" customHeight="1" thickBot="1">
      <c r="B120" s="54"/>
      <c r="C120" s="50"/>
      <c r="D120" s="55"/>
      <c r="E120" s="55"/>
      <c r="F120" s="52"/>
      <c r="H120" s="2"/>
      <c r="K120" s="2"/>
      <c r="P120" s="3"/>
      <c r="Q120" s="3"/>
      <c r="T120" s="3"/>
    </row>
    <row r="121" spans="2:20" ht="21" customHeight="1" thickBot="1">
      <c r="B121" s="428" t="s">
        <v>234</v>
      </c>
      <c r="C121" s="437"/>
      <c r="D121" s="437"/>
      <c r="E121" s="437"/>
      <c r="F121" s="438"/>
      <c r="H121" s="2"/>
      <c r="K121" s="2"/>
      <c r="P121" s="3"/>
      <c r="Q121" s="3"/>
      <c r="T121" s="3"/>
    </row>
    <row r="122" spans="2:20" ht="14.25" customHeight="1">
      <c r="B122" s="122" t="s">
        <v>30</v>
      </c>
      <c r="C122" s="123" t="s">
        <v>25</v>
      </c>
      <c r="D122" s="123" t="s">
        <v>45</v>
      </c>
      <c r="E122" s="123" t="s">
        <v>26</v>
      </c>
      <c r="F122" s="124" t="s">
        <v>27</v>
      </c>
      <c r="H122" s="2"/>
      <c r="K122" s="2"/>
      <c r="P122" s="3"/>
      <c r="Q122" s="3"/>
      <c r="T122" s="3"/>
    </row>
    <row r="123" spans="2:20" ht="14.25" customHeight="1">
      <c r="B123" s="434" t="s">
        <v>31</v>
      </c>
      <c r="C123" s="435"/>
      <c r="D123" s="435"/>
      <c r="E123" s="435"/>
      <c r="F123" s="436"/>
      <c r="H123" s="2"/>
      <c r="K123" s="2"/>
      <c r="P123" s="3"/>
      <c r="Q123" s="3"/>
      <c r="T123" s="3"/>
    </row>
    <row r="124" spans="2:20" ht="14.25" customHeight="1" thickBot="1">
      <c r="B124" s="155" t="s">
        <v>235</v>
      </c>
      <c r="C124" s="156" t="s">
        <v>236</v>
      </c>
      <c r="D124" s="157">
        <v>1000000</v>
      </c>
      <c r="E124" s="158" t="s">
        <v>201</v>
      </c>
      <c r="F124" s="395" t="s">
        <v>586</v>
      </c>
      <c r="H124" s="2"/>
      <c r="K124" s="2"/>
      <c r="P124" s="3"/>
      <c r="Q124" s="3"/>
      <c r="T124" s="3"/>
    </row>
    <row r="125" spans="2:20" ht="14.25" customHeight="1" thickBot="1">
      <c r="B125" s="54"/>
      <c r="C125" s="50"/>
      <c r="D125" s="55"/>
      <c r="E125" s="55"/>
      <c r="F125" s="52"/>
      <c r="H125" s="2"/>
      <c r="K125" s="2"/>
      <c r="P125" s="3"/>
      <c r="Q125" s="3"/>
      <c r="T125" s="3"/>
    </row>
    <row r="126" spans="2:20" ht="21" customHeight="1" thickBot="1">
      <c r="B126" s="428" t="s">
        <v>237</v>
      </c>
      <c r="C126" s="437"/>
      <c r="D126" s="437"/>
      <c r="E126" s="437"/>
      <c r="F126" s="438"/>
      <c r="H126" s="2"/>
      <c r="K126" s="2"/>
      <c r="P126" s="3"/>
      <c r="Q126" s="3"/>
      <c r="T126" s="3"/>
    </row>
    <row r="127" spans="2:20" ht="14.25" customHeight="1">
      <c r="B127" s="122" t="s">
        <v>30</v>
      </c>
      <c r="C127" s="123" t="s">
        <v>25</v>
      </c>
      <c r="D127" s="123" t="s">
        <v>45</v>
      </c>
      <c r="E127" s="123" t="s">
        <v>26</v>
      </c>
      <c r="F127" s="124" t="s">
        <v>27</v>
      </c>
      <c r="H127" s="2"/>
      <c r="K127" s="2"/>
      <c r="P127" s="3"/>
      <c r="Q127" s="3"/>
      <c r="T127" s="3"/>
    </row>
    <row r="128" spans="2:20" ht="14.25" customHeight="1">
      <c r="B128" s="434" t="s">
        <v>31</v>
      </c>
      <c r="C128" s="435"/>
      <c r="D128" s="435"/>
      <c r="E128" s="435"/>
      <c r="F128" s="436"/>
      <c r="H128" s="2"/>
      <c r="K128" s="2"/>
      <c r="P128" s="3"/>
      <c r="Q128" s="3"/>
      <c r="T128" s="3"/>
    </row>
    <row r="129" spans="2:20" ht="14.25" customHeight="1" thickBot="1">
      <c r="B129" s="155" t="s">
        <v>238</v>
      </c>
      <c r="C129" s="156" t="s">
        <v>239</v>
      </c>
      <c r="D129" s="157">
        <v>52000</v>
      </c>
      <c r="E129" s="158" t="s">
        <v>201</v>
      </c>
      <c r="F129" s="159"/>
      <c r="H129" s="2"/>
      <c r="K129" s="2"/>
      <c r="P129" s="3"/>
      <c r="Q129" s="3"/>
      <c r="T129" s="3"/>
    </row>
    <row r="130" spans="2:20" ht="14.25" customHeight="1" thickBot="1">
      <c r="B130" s="54"/>
      <c r="C130" s="50"/>
      <c r="D130" s="55"/>
      <c r="E130" s="55"/>
      <c r="F130" s="52"/>
      <c r="H130" s="2"/>
      <c r="K130" s="2"/>
      <c r="P130" s="3"/>
      <c r="Q130" s="3"/>
      <c r="T130" s="3"/>
    </row>
    <row r="131" spans="2:20" ht="21" customHeight="1" thickBot="1">
      <c r="B131" s="428" t="s">
        <v>240</v>
      </c>
      <c r="C131" s="437"/>
      <c r="D131" s="437"/>
      <c r="E131" s="437"/>
      <c r="F131" s="438"/>
      <c r="H131" s="2"/>
      <c r="K131" s="2"/>
      <c r="P131" s="3"/>
      <c r="Q131" s="3"/>
      <c r="T131" s="3"/>
    </row>
    <row r="132" spans="2:20" ht="14.25" customHeight="1">
      <c r="B132" s="125" t="s">
        <v>30</v>
      </c>
      <c r="C132" s="123" t="s">
        <v>25</v>
      </c>
      <c r="D132" s="123" t="s">
        <v>45</v>
      </c>
      <c r="E132" s="123" t="s">
        <v>26</v>
      </c>
      <c r="F132" s="126" t="s">
        <v>27</v>
      </c>
      <c r="H132" s="2"/>
      <c r="K132" s="2"/>
      <c r="P132" s="3"/>
      <c r="Q132" s="3"/>
      <c r="T132" s="3"/>
    </row>
    <row r="133" spans="2:20" ht="14.25" customHeight="1">
      <c r="B133" s="441" t="s">
        <v>34</v>
      </c>
      <c r="C133" s="435"/>
      <c r="D133" s="435"/>
      <c r="E133" s="435"/>
      <c r="F133" s="440"/>
      <c r="H133" s="2"/>
      <c r="K133" s="2"/>
      <c r="P133" s="3"/>
      <c r="Q133" s="3"/>
      <c r="T133" s="3"/>
    </row>
    <row r="134" spans="2:20" ht="14.25" customHeight="1" thickBot="1">
      <c r="B134" s="150" t="s">
        <v>241</v>
      </c>
      <c r="C134" s="151" t="s">
        <v>242</v>
      </c>
      <c r="D134" s="152">
        <v>3000</v>
      </c>
      <c r="E134" s="153" t="s">
        <v>243</v>
      </c>
      <c r="F134" s="154"/>
      <c r="H134" s="2"/>
      <c r="K134" s="2"/>
      <c r="P134" s="3"/>
      <c r="Q134" s="3"/>
      <c r="T134" s="3"/>
    </row>
    <row r="135" spans="2:20" ht="14.25" customHeight="1" thickBot="1">
      <c r="B135" s="54"/>
      <c r="C135" s="50"/>
      <c r="D135" s="55"/>
      <c r="E135" s="55"/>
      <c r="F135" s="52"/>
      <c r="H135" s="2"/>
      <c r="K135" s="2"/>
      <c r="P135" s="3"/>
      <c r="Q135" s="3"/>
      <c r="T135" s="3"/>
    </row>
    <row r="136" spans="2:20" ht="21" customHeight="1" thickBot="1">
      <c r="B136" s="428" t="s">
        <v>244</v>
      </c>
      <c r="C136" s="437"/>
      <c r="D136" s="437"/>
      <c r="E136" s="437"/>
      <c r="F136" s="438"/>
      <c r="H136" s="2"/>
      <c r="K136" s="2"/>
      <c r="P136" s="3"/>
      <c r="Q136" s="3"/>
      <c r="T136" s="3"/>
    </row>
    <row r="137" spans="2:20" ht="14.25" customHeight="1">
      <c r="B137" s="125" t="s">
        <v>30</v>
      </c>
      <c r="C137" s="123" t="s">
        <v>25</v>
      </c>
      <c r="D137" s="123" t="s">
        <v>45</v>
      </c>
      <c r="E137" s="123" t="s">
        <v>26</v>
      </c>
      <c r="F137" s="126" t="s">
        <v>27</v>
      </c>
      <c r="H137" s="2"/>
      <c r="K137" s="2"/>
      <c r="P137" s="3"/>
      <c r="Q137" s="3"/>
      <c r="T137" s="3"/>
    </row>
    <row r="138" spans="2:20" ht="14.25" customHeight="1">
      <c r="B138" s="439" t="s">
        <v>31</v>
      </c>
      <c r="C138" s="435"/>
      <c r="D138" s="435"/>
      <c r="E138" s="435"/>
      <c r="F138" s="440"/>
      <c r="H138" s="2"/>
      <c r="K138" s="2"/>
      <c r="P138" s="3"/>
      <c r="Q138" s="3"/>
      <c r="T138" s="3"/>
    </row>
    <row r="139" spans="2:20" ht="14.25" customHeight="1" thickBot="1">
      <c r="B139" s="150" t="s">
        <v>245</v>
      </c>
      <c r="C139" s="151" t="s">
        <v>246</v>
      </c>
      <c r="D139" s="152">
        <v>20000</v>
      </c>
      <c r="E139" s="153" t="s">
        <v>201</v>
      </c>
      <c r="F139" s="154"/>
      <c r="H139" s="2"/>
      <c r="K139" s="2"/>
      <c r="P139" s="3"/>
      <c r="Q139" s="3"/>
      <c r="T139" s="3"/>
    </row>
    <row r="140" spans="2:20" ht="14.25" customHeight="1" thickBot="1">
      <c r="B140" s="54"/>
      <c r="C140" s="50"/>
      <c r="D140" s="55"/>
      <c r="E140" s="55"/>
      <c r="F140" s="52"/>
      <c r="H140" s="2"/>
      <c r="K140" s="2"/>
      <c r="P140" s="3"/>
      <c r="Q140" s="3"/>
      <c r="T140" s="3"/>
    </row>
    <row r="141" spans="2:20" ht="21" customHeight="1" thickBot="1">
      <c r="B141" s="442" t="s">
        <v>570</v>
      </c>
      <c r="C141" s="437"/>
      <c r="D141" s="437"/>
      <c r="E141" s="437"/>
      <c r="F141" s="438"/>
      <c r="H141" s="2"/>
      <c r="K141" s="2"/>
      <c r="P141" s="3"/>
      <c r="Q141" s="3"/>
      <c r="T141" s="3"/>
    </row>
    <row r="142" spans="2:20" ht="14.25" customHeight="1">
      <c r="B142" s="125" t="s">
        <v>30</v>
      </c>
      <c r="C142" s="123" t="s">
        <v>25</v>
      </c>
      <c r="D142" s="123" t="s">
        <v>45</v>
      </c>
      <c r="E142" s="123" t="s">
        <v>26</v>
      </c>
      <c r="F142" s="126" t="s">
        <v>27</v>
      </c>
      <c r="H142" s="2"/>
      <c r="K142" s="2"/>
      <c r="P142" s="3"/>
      <c r="Q142" s="3"/>
      <c r="T142" s="3"/>
    </row>
    <row r="143" spans="2:20" ht="14.25" customHeight="1">
      <c r="B143" s="439" t="s">
        <v>31</v>
      </c>
      <c r="C143" s="435"/>
      <c r="D143" s="435"/>
      <c r="E143" s="435"/>
      <c r="F143" s="440"/>
      <c r="H143" s="2"/>
      <c r="K143" s="2"/>
      <c r="P143" s="3"/>
      <c r="Q143" s="3"/>
      <c r="T143" s="3"/>
    </row>
    <row r="144" spans="2:20" ht="14.25" customHeight="1" thickBot="1">
      <c r="B144" s="150" t="s">
        <v>247</v>
      </c>
      <c r="C144" s="151" t="s">
        <v>248</v>
      </c>
      <c r="D144" s="152">
        <v>800000</v>
      </c>
      <c r="E144" s="153" t="s">
        <v>201</v>
      </c>
      <c r="F144" s="154"/>
      <c r="H144" s="2"/>
      <c r="K144" s="2"/>
      <c r="P144" s="3"/>
      <c r="Q144" s="3"/>
      <c r="T144" s="3"/>
    </row>
    <row r="145" spans="2:21" ht="14.25" customHeight="1" thickBot="1">
      <c r="B145" s="54"/>
      <c r="C145" s="50"/>
      <c r="D145" s="55"/>
      <c r="E145" s="55"/>
      <c r="F145" s="52"/>
      <c r="H145" s="2"/>
      <c r="K145" s="2"/>
      <c r="P145" s="3"/>
      <c r="Q145" s="3"/>
      <c r="T145" s="3"/>
    </row>
    <row r="146" spans="2:21" ht="19.95" customHeight="1" thickBot="1">
      <c r="B146" s="428" t="s">
        <v>33</v>
      </c>
      <c r="C146" s="429"/>
      <c r="D146" s="429"/>
      <c r="E146" s="429"/>
      <c r="F146" s="430"/>
      <c r="H146" s="2"/>
      <c r="K146" s="2"/>
      <c r="P146" s="3"/>
      <c r="Q146" s="3"/>
      <c r="T146" s="3"/>
    </row>
    <row r="147" spans="2:21" ht="14.25" customHeight="1">
      <c r="B147" s="125" t="s">
        <v>30</v>
      </c>
      <c r="C147" s="123" t="s">
        <v>25</v>
      </c>
      <c r="D147" s="123" t="s">
        <v>45</v>
      </c>
      <c r="E147" s="123" t="s">
        <v>26</v>
      </c>
      <c r="F147" s="126" t="s">
        <v>27</v>
      </c>
      <c r="H147" s="2"/>
      <c r="K147" s="2"/>
      <c r="P147" s="3"/>
      <c r="Q147" s="3"/>
      <c r="T147" s="3"/>
    </row>
    <row r="148" spans="2:21" ht="14.25" customHeight="1">
      <c r="B148" s="431" t="s">
        <v>34</v>
      </c>
      <c r="C148" s="432"/>
      <c r="D148" s="432"/>
      <c r="E148" s="432"/>
      <c r="F148" s="433"/>
    </row>
    <row r="149" spans="2:21" ht="14.25" customHeight="1">
      <c r="B149" s="137" t="s">
        <v>35</v>
      </c>
      <c r="C149" s="138" t="s">
        <v>36</v>
      </c>
      <c r="D149" s="139">
        <v>1.4999999999999999E-2</v>
      </c>
      <c r="E149" s="147" t="s">
        <v>249</v>
      </c>
      <c r="F149" s="148"/>
    </row>
    <row r="150" spans="2:21" ht="14.25" customHeight="1">
      <c r="B150" s="137" t="s">
        <v>37</v>
      </c>
      <c r="C150" s="138" t="s">
        <v>38</v>
      </c>
      <c r="D150" s="140">
        <f>8*365</f>
        <v>2920</v>
      </c>
      <c r="E150" s="147" t="s">
        <v>250</v>
      </c>
      <c r="F150" s="149" t="s">
        <v>251</v>
      </c>
    </row>
    <row r="151" spans="2:21" ht="14.25" customHeight="1">
      <c r="B151" s="439" t="s">
        <v>39</v>
      </c>
      <c r="C151" s="435"/>
      <c r="D151" s="435"/>
      <c r="E151" s="435"/>
      <c r="F151" s="440"/>
    </row>
    <row r="152" spans="2:21" ht="14.25" customHeight="1">
      <c r="B152" s="137" t="s">
        <v>19</v>
      </c>
      <c r="C152" s="138" t="s">
        <v>40</v>
      </c>
      <c r="D152" s="139">
        <v>40</v>
      </c>
      <c r="E152" s="140" t="s">
        <v>41</v>
      </c>
      <c r="F152" s="141">
        <v>40</v>
      </c>
    </row>
    <row r="153" spans="2:21" ht="14.25" customHeight="1" thickBot="1">
      <c r="B153" s="142" t="s">
        <v>42</v>
      </c>
      <c r="C153" s="143" t="s">
        <v>43</v>
      </c>
      <c r="D153" s="144">
        <v>0.05</v>
      </c>
      <c r="E153" s="145"/>
      <c r="F153" s="146">
        <v>0.05</v>
      </c>
    </row>
    <row r="154" spans="2:21" ht="14.25" customHeight="1">
      <c r="B154" s="32"/>
      <c r="C154" s="32"/>
      <c r="D154" s="93"/>
      <c r="E154" s="32"/>
      <c r="F154" s="32"/>
      <c r="H154" s="2"/>
      <c r="K154" s="2"/>
      <c r="O154" s="7"/>
      <c r="P154" s="8"/>
      <c r="Q154" s="8"/>
      <c r="S154" s="9"/>
      <c r="T154" s="10"/>
      <c r="U154" s="10"/>
    </row>
    <row r="155" spans="2:21" ht="14.25" customHeight="1">
      <c r="H155" s="2"/>
      <c r="K155" s="2"/>
      <c r="P155" s="3"/>
      <c r="Q155" s="3"/>
      <c r="T155" s="3"/>
    </row>
    <row r="156" spans="2:21" ht="14.25" customHeight="1">
      <c r="H156" s="2"/>
      <c r="K156" s="2"/>
      <c r="P156" s="3"/>
      <c r="Q156" s="3"/>
      <c r="T156" s="3"/>
    </row>
    <row r="157" spans="2:21" ht="14.25" customHeight="1">
      <c r="H157" s="2"/>
      <c r="K157" s="2"/>
      <c r="P157" s="3"/>
      <c r="Q157" s="3"/>
      <c r="T157" s="3"/>
    </row>
    <row r="158" spans="2:21" ht="14.25" customHeight="1">
      <c r="H158" s="2"/>
      <c r="K158" s="2"/>
      <c r="P158" s="3"/>
      <c r="Q158" s="3"/>
      <c r="T158" s="3"/>
    </row>
    <row r="159" spans="2:21" ht="14.25" customHeight="1">
      <c r="H159" s="2"/>
      <c r="K159" s="2"/>
      <c r="P159" s="3"/>
      <c r="Q159" s="3"/>
      <c r="T159" s="3"/>
    </row>
    <row r="160" spans="2:21" ht="14.25" customHeight="1">
      <c r="H160" s="2"/>
      <c r="K160" s="2"/>
      <c r="P160" s="3"/>
      <c r="Q160" s="3"/>
      <c r="T160" s="3"/>
    </row>
    <row r="161" spans="8:20" ht="14.25" customHeight="1">
      <c r="H161" s="2"/>
      <c r="K161" s="2"/>
      <c r="P161" s="3"/>
      <c r="Q161" s="3"/>
      <c r="T161" s="3"/>
    </row>
    <row r="162" spans="8:20" ht="14.25" customHeight="1">
      <c r="H162" s="2"/>
      <c r="K162" s="2"/>
      <c r="P162" s="3"/>
      <c r="Q162" s="3"/>
      <c r="T162" s="3"/>
    </row>
    <row r="163" spans="8:20" ht="14.25" customHeight="1">
      <c r="H163" s="2"/>
      <c r="K163" s="2"/>
      <c r="P163" s="3"/>
      <c r="Q163" s="3"/>
      <c r="T163" s="3"/>
    </row>
    <row r="164" spans="8:20" ht="14.25" customHeight="1">
      <c r="H164" s="2"/>
      <c r="K164" s="2"/>
      <c r="P164" s="3"/>
      <c r="Q164" s="3"/>
      <c r="T164" s="3"/>
    </row>
    <row r="165" spans="8:20" ht="14.25" customHeight="1">
      <c r="H165" s="2"/>
      <c r="K165" s="2"/>
      <c r="P165" s="3"/>
      <c r="Q165" s="3"/>
      <c r="T165" s="3"/>
    </row>
    <row r="166" spans="8:20" ht="14.25" customHeight="1">
      <c r="H166" s="2"/>
      <c r="K166" s="2"/>
      <c r="P166" s="3"/>
      <c r="Q166" s="3"/>
      <c r="T166" s="3"/>
    </row>
    <row r="167" spans="8:20" ht="14.25" customHeight="1">
      <c r="H167" s="2"/>
      <c r="K167" s="2"/>
      <c r="P167" s="3"/>
      <c r="Q167" s="3"/>
      <c r="T167" s="3"/>
    </row>
    <row r="168" spans="8:20" ht="14.25" customHeight="1">
      <c r="H168" s="2"/>
      <c r="K168" s="2"/>
      <c r="P168" s="3"/>
      <c r="Q168" s="3"/>
      <c r="T168" s="3"/>
    </row>
    <row r="169" spans="8:20" ht="14.25" customHeight="1">
      <c r="H169" s="2"/>
      <c r="K169" s="2"/>
      <c r="P169" s="3"/>
      <c r="Q169" s="3"/>
      <c r="T169" s="3"/>
    </row>
    <row r="170" spans="8:20" ht="14.25" customHeight="1">
      <c r="H170" s="2"/>
      <c r="K170" s="2"/>
      <c r="P170" s="3"/>
      <c r="Q170" s="3"/>
      <c r="T170" s="3"/>
    </row>
    <row r="171" spans="8:20" ht="14.25" customHeight="1">
      <c r="H171" s="2"/>
      <c r="K171" s="2"/>
      <c r="P171" s="3"/>
      <c r="Q171" s="3"/>
      <c r="T171" s="3"/>
    </row>
    <row r="172" spans="8:20" ht="14.25" customHeight="1">
      <c r="H172" s="2"/>
      <c r="K172" s="2"/>
      <c r="P172" s="3"/>
      <c r="Q172" s="3"/>
      <c r="T172" s="3"/>
    </row>
    <row r="173" spans="8:20" ht="14.25" customHeight="1">
      <c r="H173" s="2"/>
      <c r="K173" s="2"/>
      <c r="P173" s="3"/>
      <c r="Q173" s="3"/>
      <c r="T173" s="3"/>
    </row>
    <row r="174" spans="8:20" ht="14.25" customHeight="1">
      <c r="H174" s="2"/>
      <c r="K174" s="2"/>
      <c r="P174" s="3"/>
      <c r="Q174" s="3"/>
      <c r="T174" s="3"/>
    </row>
    <row r="175" spans="8:20" ht="14.25" customHeight="1">
      <c r="H175" s="2"/>
      <c r="K175" s="2"/>
      <c r="P175" s="3"/>
      <c r="Q175" s="3"/>
      <c r="T175" s="3"/>
    </row>
    <row r="176" spans="8:20" ht="14.25" customHeight="1">
      <c r="H176" s="2"/>
      <c r="K176" s="2"/>
      <c r="P176" s="3"/>
      <c r="Q176" s="3"/>
      <c r="T176" s="3"/>
    </row>
    <row r="177" spans="8:20" ht="14.25" customHeight="1">
      <c r="H177" s="2"/>
      <c r="K177" s="2"/>
      <c r="P177" s="3"/>
      <c r="Q177" s="3"/>
      <c r="T177" s="3"/>
    </row>
    <row r="178" spans="8:20" ht="14.25" customHeight="1">
      <c r="H178" s="2"/>
      <c r="K178" s="2"/>
      <c r="P178" s="3"/>
      <c r="Q178" s="3"/>
      <c r="T178" s="3"/>
    </row>
    <row r="179" spans="8:20" ht="14.25" customHeight="1">
      <c r="H179" s="2"/>
      <c r="K179" s="2"/>
      <c r="P179" s="3"/>
      <c r="Q179" s="3"/>
      <c r="T179" s="3"/>
    </row>
    <row r="180" spans="8:20" ht="14.25" customHeight="1">
      <c r="H180" s="2"/>
      <c r="K180" s="2"/>
      <c r="P180" s="3"/>
      <c r="Q180" s="3"/>
      <c r="T180" s="3"/>
    </row>
    <row r="181" spans="8:20" ht="14.25" customHeight="1">
      <c r="H181" s="2"/>
      <c r="K181" s="2"/>
      <c r="P181" s="3"/>
      <c r="Q181" s="3"/>
      <c r="T181" s="3"/>
    </row>
    <row r="182" spans="8:20" ht="14.25" customHeight="1">
      <c r="H182" s="2"/>
      <c r="K182" s="2"/>
      <c r="P182" s="3"/>
      <c r="Q182" s="3"/>
      <c r="T182" s="3"/>
    </row>
    <row r="183" spans="8:20" ht="14.25" customHeight="1">
      <c r="H183" s="2"/>
      <c r="K183" s="2"/>
      <c r="P183" s="3"/>
      <c r="Q183" s="3"/>
      <c r="T183" s="3"/>
    </row>
    <row r="184" spans="8:20" ht="14.25" customHeight="1">
      <c r="H184" s="2"/>
      <c r="K184" s="2"/>
      <c r="P184" s="3"/>
      <c r="Q184" s="3"/>
      <c r="T184" s="3"/>
    </row>
    <row r="185" spans="8:20" ht="14.25" customHeight="1">
      <c r="H185" s="2"/>
      <c r="K185" s="2"/>
      <c r="P185" s="3"/>
      <c r="Q185" s="3"/>
      <c r="T185" s="3"/>
    </row>
    <row r="186" spans="8:20" ht="14.25" customHeight="1">
      <c r="H186" s="2"/>
      <c r="K186" s="2"/>
      <c r="P186" s="3"/>
      <c r="Q186" s="3"/>
      <c r="T186" s="3"/>
    </row>
    <row r="187" spans="8:20" ht="14.25" customHeight="1">
      <c r="H187" s="2"/>
      <c r="K187" s="2"/>
      <c r="P187" s="3"/>
      <c r="Q187" s="3"/>
      <c r="T187" s="3"/>
    </row>
    <row r="188" spans="8:20" ht="14.25" customHeight="1">
      <c r="H188" s="2"/>
      <c r="K188" s="2"/>
      <c r="P188" s="3"/>
      <c r="Q188" s="3"/>
      <c r="T188" s="3"/>
    </row>
    <row r="189" spans="8:20" ht="14.25" customHeight="1">
      <c r="H189" s="2"/>
      <c r="K189" s="2"/>
      <c r="P189" s="3"/>
      <c r="Q189" s="3"/>
      <c r="T189" s="3"/>
    </row>
    <row r="190" spans="8:20" ht="14.25" customHeight="1">
      <c r="H190" s="2"/>
      <c r="K190" s="2"/>
      <c r="P190" s="3"/>
      <c r="Q190" s="3"/>
      <c r="T190" s="3"/>
    </row>
    <row r="191" spans="8:20" ht="14.25" customHeight="1">
      <c r="H191" s="2"/>
      <c r="K191" s="2"/>
      <c r="P191" s="3"/>
      <c r="Q191" s="3"/>
      <c r="T191" s="3"/>
    </row>
    <row r="192" spans="8:20" ht="14.25" customHeight="1">
      <c r="H192" s="2"/>
      <c r="K192" s="2"/>
      <c r="P192" s="3"/>
      <c r="Q192" s="3"/>
      <c r="T192" s="3"/>
    </row>
    <row r="193" spans="8:20" ht="14.25" customHeight="1">
      <c r="H193" s="2"/>
      <c r="K193" s="2"/>
      <c r="P193" s="3"/>
      <c r="Q193" s="3"/>
      <c r="T193" s="3"/>
    </row>
    <row r="194" spans="8:20" ht="14.25" customHeight="1">
      <c r="H194" s="2"/>
      <c r="K194" s="2"/>
      <c r="P194" s="3"/>
      <c r="Q194" s="3"/>
      <c r="T194" s="3"/>
    </row>
    <row r="195" spans="8:20" ht="14.25" customHeight="1">
      <c r="H195" s="2"/>
      <c r="K195" s="2"/>
      <c r="P195" s="3"/>
      <c r="Q195" s="3"/>
      <c r="T195" s="3"/>
    </row>
    <row r="196" spans="8:20" ht="14.25" customHeight="1">
      <c r="H196" s="2"/>
      <c r="K196" s="2"/>
      <c r="P196" s="3"/>
      <c r="Q196" s="3"/>
      <c r="T196" s="3"/>
    </row>
    <row r="197" spans="8:20" ht="14.25" customHeight="1">
      <c r="H197" s="2"/>
      <c r="K197" s="2"/>
      <c r="P197" s="3"/>
      <c r="Q197" s="3"/>
      <c r="T197" s="3"/>
    </row>
    <row r="198" spans="8:20" ht="14.25" customHeight="1">
      <c r="H198" s="2"/>
      <c r="K198" s="2"/>
      <c r="P198" s="3"/>
      <c r="Q198" s="3"/>
      <c r="T198" s="3"/>
    </row>
    <row r="199" spans="8:20" ht="14.25" customHeight="1">
      <c r="H199" s="2"/>
      <c r="K199" s="2"/>
      <c r="P199" s="3"/>
      <c r="Q199" s="3"/>
      <c r="T199" s="3"/>
    </row>
    <row r="200" spans="8:20" ht="14.25" customHeight="1">
      <c r="H200" s="2"/>
      <c r="K200" s="2"/>
      <c r="P200" s="3"/>
      <c r="Q200" s="3"/>
      <c r="T200" s="3"/>
    </row>
    <row r="201" spans="8:20" ht="14.25" customHeight="1">
      <c r="H201" s="2"/>
      <c r="K201" s="2"/>
      <c r="P201" s="3"/>
      <c r="Q201" s="3"/>
      <c r="T201" s="3"/>
    </row>
    <row r="202" spans="8:20" ht="14.25" customHeight="1">
      <c r="H202" s="2"/>
      <c r="K202" s="2"/>
      <c r="P202" s="3"/>
      <c r="Q202" s="3"/>
      <c r="T202" s="3"/>
    </row>
    <row r="203" spans="8:20" ht="14.25" customHeight="1">
      <c r="H203" s="2"/>
      <c r="K203" s="2"/>
      <c r="P203" s="3"/>
      <c r="Q203" s="3"/>
      <c r="T203" s="3"/>
    </row>
    <row r="204" spans="8:20" ht="14.25" customHeight="1">
      <c r="H204" s="2"/>
      <c r="K204" s="2"/>
      <c r="P204" s="3"/>
      <c r="Q204" s="3"/>
      <c r="T204" s="3"/>
    </row>
    <row r="205" spans="8:20" ht="14.25" customHeight="1">
      <c r="H205" s="2"/>
      <c r="K205" s="2"/>
      <c r="P205" s="3"/>
      <c r="Q205" s="3"/>
      <c r="T205" s="3"/>
    </row>
    <row r="206" spans="8:20" ht="14.25" customHeight="1">
      <c r="H206" s="2"/>
      <c r="K206" s="2"/>
      <c r="P206" s="3"/>
      <c r="Q206" s="3"/>
      <c r="T206" s="3"/>
    </row>
    <row r="207" spans="8:20" ht="14.25" customHeight="1">
      <c r="H207" s="2"/>
      <c r="K207" s="2"/>
      <c r="P207" s="3"/>
      <c r="Q207" s="3"/>
      <c r="T207" s="3"/>
    </row>
    <row r="208" spans="8:20" ht="14.25" customHeight="1">
      <c r="H208" s="2"/>
      <c r="K208" s="2"/>
      <c r="P208" s="3"/>
      <c r="Q208" s="3"/>
      <c r="T208" s="3"/>
    </row>
    <row r="209" spans="8:20" ht="14.25" customHeight="1">
      <c r="H209" s="2"/>
      <c r="K209" s="2"/>
      <c r="P209" s="3"/>
      <c r="Q209" s="3"/>
      <c r="T209" s="3"/>
    </row>
    <row r="210" spans="8:20" ht="14.25" customHeight="1">
      <c r="H210" s="2"/>
      <c r="K210" s="2"/>
      <c r="P210" s="3"/>
      <c r="Q210" s="3"/>
      <c r="T210" s="3"/>
    </row>
    <row r="211" spans="8:20" ht="14.25" customHeight="1">
      <c r="H211" s="2"/>
      <c r="K211" s="2"/>
      <c r="P211" s="3"/>
      <c r="Q211" s="3"/>
      <c r="T211" s="3"/>
    </row>
    <row r="212" spans="8:20" ht="14.25" customHeight="1">
      <c r="H212" s="2"/>
      <c r="K212" s="2"/>
      <c r="P212" s="3"/>
      <c r="Q212" s="3"/>
      <c r="T212" s="3"/>
    </row>
    <row r="213" spans="8:20" ht="14.25" customHeight="1">
      <c r="H213" s="2"/>
      <c r="K213" s="2"/>
      <c r="P213" s="3"/>
      <c r="Q213" s="3"/>
      <c r="T213" s="3"/>
    </row>
    <row r="214" spans="8:20" ht="14.25" customHeight="1">
      <c r="H214" s="2"/>
      <c r="K214" s="2"/>
      <c r="P214" s="3"/>
      <c r="Q214" s="3"/>
      <c r="T214" s="3"/>
    </row>
    <row r="215" spans="8:20" ht="14.25" customHeight="1">
      <c r="H215" s="2"/>
      <c r="K215" s="2"/>
      <c r="P215" s="3"/>
      <c r="Q215" s="3"/>
      <c r="T215" s="3"/>
    </row>
    <row r="216" spans="8:20" ht="14.25" customHeight="1">
      <c r="H216" s="2"/>
      <c r="K216" s="2"/>
      <c r="P216" s="3"/>
      <c r="Q216" s="3"/>
      <c r="T216" s="3"/>
    </row>
    <row r="217" spans="8:20" ht="14.25" customHeight="1">
      <c r="H217" s="2"/>
      <c r="K217" s="2"/>
      <c r="P217" s="3"/>
      <c r="Q217" s="3"/>
      <c r="T217" s="3"/>
    </row>
    <row r="218" spans="8:20" ht="14.25" customHeight="1">
      <c r="H218" s="2"/>
      <c r="K218" s="2"/>
      <c r="P218" s="3"/>
      <c r="Q218" s="3"/>
      <c r="T218" s="3"/>
    </row>
    <row r="219" spans="8:20" ht="14.25" customHeight="1">
      <c r="H219" s="2"/>
      <c r="K219" s="2"/>
      <c r="P219" s="3"/>
      <c r="Q219" s="3"/>
      <c r="T219" s="3"/>
    </row>
    <row r="220" spans="8:20" ht="14.25" customHeight="1">
      <c r="H220" s="2"/>
      <c r="K220" s="2"/>
      <c r="P220" s="3"/>
      <c r="Q220" s="3"/>
      <c r="T220" s="3"/>
    </row>
    <row r="221" spans="8:20" ht="14.25" customHeight="1">
      <c r="H221" s="2"/>
      <c r="K221" s="2"/>
      <c r="P221" s="3"/>
      <c r="Q221" s="3"/>
      <c r="T221" s="3"/>
    </row>
    <row r="222" spans="8:20" ht="14.25" customHeight="1">
      <c r="H222" s="2"/>
      <c r="K222" s="2"/>
      <c r="P222" s="3"/>
      <c r="Q222" s="3"/>
      <c r="T222" s="3"/>
    </row>
    <row r="223" spans="8:20" ht="14.25" customHeight="1">
      <c r="H223" s="2"/>
      <c r="K223" s="2"/>
      <c r="P223" s="3"/>
      <c r="Q223" s="3"/>
      <c r="T223" s="3"/>
    </row>
    <row r="224" spans="8:20" ht="14.25" customHeight="1">
      <c r="H224" s="2"/>
      <c r="K224" s="2"/>
      <c r="P224" s="3"/>
      <c r="Q224" s="3"/>
      <c r="T224" s="3"/>
    </row>
    <row r="225" spans="8:20" ht="14.25" customHeight="1">
      <c r="H225" s="2"/>
      <c r="K225" s="2"/>
      <c r="P225" s="3"/>
      <c r="Q225" s="3"/>
      <c r="T225" s="3"/>
    </row>
    <row r="226" spans="8:20" ht="14.25" customHeight="1">
      <c r="H226" s="2"/>
      <c r="K226" s="2"/>
      <c r="P226" s="3"/>
      <c r="Q226" s="3"/>
      <c r="T226" s="3"/>
    </row>
    <row r="227" spans="8:20" ht="14.25" customHeight="1">
      <c r="H227" s="2"/>
      <c r="K227" s="2"/>
      <c r="P227" s="3"/>
      <c r="Q227" s="3"/>
      <c r="T227" s="3"/>
    </row>
    <row r="228" spans="8:20" ht="14.25" customHeight="1">
      <c r="H228" s="2"/>
      <c r="K228" s="2"/>
      <c r="P228" s="3"/>
      <c r="Q228" s="3"/>
      <c r="T228" s="3"/>
    </row>
    <row r="229" spans="8:20" ht="14.25" customHeight="1">
      <c r="H229" s="2"/>
      <c r="K229" s="2"/>
      <c r="P229" s="3"/>
      <c r="Q229" s="3"/>
      <c r="T229" s="3"/>
    </row>
    <row r="230" spans="8:20" ht="14.25" customHeight="1">
      <c r="H230" s="2"/>
      <c r="K230" s="2"/>
      <c r="P230" s="3"/>
      <c r="Q230" s="3"/>
      <c r="T230" s="3"/>
    </row>
    <row r="231" spans="8:20" ht="14.25" customHeight="1">
      <c r="H231" s="2"/>
      <c r="K231" s="2"/>
      <c r="P231" s="3"/>
      <c r="Q231" s="3"/>
      <c r="T231" s="3"/>
    </row>
    <row r="232" spans="8:20" ht="14.25" customHeight="1">
      <c r="H232" s="2"/>
      <c r="K232" s="2"/>
      <c r="P232" s="3"/>
      <c r="Q232" s="3"/>
      <c r="T232" s="3"/>
    </row>
    <row r="233" spans="8:20" ht="14.25" customHeight="1">
      <c r="H233" s="2"/>
      <c r="K233" s="2"/>
      <c r="P233" s="3"/>
      <c r="Q233" s="3"/>
      <c r="T233" s="3"/>
    </row>
    <row r="234" spans="8:20" ht="14.25" customHeight="1">
      <c r="H234" s="2"/>
      <c r="K234" s="2"/>
      <c r="P234" s="3"/>
      <c r="Q234" s="3"/>
      <c r="T234" s="3"/>
    </row>
    <row r="235" spans="8:20" ht="14.25" customHeight="1">
      <c r="H235" s="2"/>
      <c r="K235" s="2"/>
      <c r="P235" s="3"/>
      <c r="Q235" s="3"/>
      <c r="T235" s="3"/>
    </row>
    <row r="236" spans="8:20" ht="14.25" customHeight="1">
      <c r="H236" s="2"/>
      <c r="K236" s="2"/>
      <c r="P236" s="3"/>
      <c r="Q236" s="3"/>
      <c r="T236" s="3"/>
    </row>
    <row r="237" spans="8:20" ht="14.25" customHeight="1">
      <c r="H237" s="2"/>
      <c r="K237" s="2"/>
      <c r="P237" s="3"/>
      <c r="Q237" s="3"/>
      <c r="T237" s="3"/>
    </row>
    <row r="238" spans="8:20" ht="14.25" customHeight="1">
      <c r="H238" s="2"/>
      <c r="K238" s="2"/>
      <c r="P238" s="3"/>
      <c r="Q238" s="3"/>
      <c r="T238" s="3"/>
    </row>
    <row r="239" spans="8:20" ht="14.25" customHeight="1">
      <c r="H239" s="2"/>
      <c r="K239" s="2"/>
      <c r="P239" s="3"/>
      <c r="Q239" s="3"/>
      <c r="T239" s="3"/>
    </row>
    <row r="240" spans="8:20" ht="14.25" customHeight="1">
      <c r="H240" s="2"/>
      <c r="K240" s="2"/>
      <c r="P240" s="3"/>
      <c r="Q240" s="3"/>
      <c r="T240" s="3"/>
    </row>
    <row r="241" spans="8:20" ht="14.25" customHeight="1">
      <c r="H241" s="2"/>
      <c r="K241" s="2"/>
      <c r="P241" s="3"/>
      <c r="Q241" s="3"/>
      <c r="T241" s="3"/>
    </row>
    <row r="242" spans="8:20" ht="14.25" customHeight="1">
      <c r="H242" s="2"/>
      <c r="K242" s="2"/>
      <c r="P242" s="3"/>
      <c r="Q242" s="3"/>
      <c r="T242" s="3"/>
    </row>
    <row r="243" spans="8:20" ht="14.25" customHeight="1">
      <c r="H243" s="2"/>
      <c r="K243" s="2"/>
      <c r="P243" s="3"/>
      <c r="Q243" s="3"/>
      <c r="T243" s="3"/>
    </row>
    <row r="244" spans="8:20" ht="14.25" customHeight="1">
      <c r="H244" s="2"/>
      <c r="K244" s="2"/>
      <c r="P244" s="3"/>
      <c r="Q244" s="3"/>
      <c r="T244" s="3"/>
    </row>
    <row r="245" spans="8:20" ht="14.25" customHeight="1">
      <c r="H245" s="2"/>
      <c r="K245" s="2"/>
      <c r="P245" s="3"/>
      <c r="Q245" s="3"/>
      <c r="T245" s="3"/>
    </row>
    <row r="246" spans="8:20" ht="14.25" customHeight="1">
      <c r="H246" s="2"/>
      <c r="K246" s="2"/>
      <c r="P246" s="3"/>
      <c r="Q246" s="3"/>
      <c r="T246" s="3"/>
    </row>
    <row r="247" spans="8:20" ht="14.25" customHeight="1">
      <c r="H247" s="2"/>
      <c r="K247" s="2"/>
      <c r="P247" s="3"/>
      <c r="Q247" s="3"/>
      <c r="T247" s="3"/>
    </row>
    <row r="248" spans="8:20" ht="14.25" customHeight="1">
      <c r="H248" s="2"/>
      <c r="K248" s="2"/>
      <c r="P248" s="3"/>
      <c r="Q248" s="3"/>
      <c r="T248" s="3"/>
    </row>
    <row r="249" spans="8:20" ht="14.25" customHeight="1">
      <c r="H249" s="2"/>
      <c r="K249" s="2"/>
      <c r="P249" s="3"/>
      <c r="Q249" s="3"/>
      <c r="T249" s="3"/>
    </row>
    <row r="250" spans="8:20" ht="14.25" customHeight="1">
      <c r="H250" s="2"/>
      <c r="K250" s="2"/>
      <c r="P250" s="3"/>
      <c r="Q250" s="3"/>
      <c r="T250" s="3"/>
    </row>
    <row r="251" spans="8:20" ht="14.25" customHeight="1">
      <c r="H251" s="2"/>
      <c r="K251" s="2"/>
      <c r="P251" s="3"/>
      <c r="Q251" s="3"/>
      <c r="T251" s="3"/>
    </row>
    <row r="252" spans="8:20" ht="14.25" customHeight="1">
      <c r="H252" s="2"/>
      <c r="K252" s="2"/>
      <c r="P252" s="3"/>
      <c r="Q252" s="3"/>
      <c r="T252" s="3"/>
    </row>
    <row r="253" spans="8:20" ht="14.25" customHeight="1">
      <c r="H253" s="2"/>
      <c r="K253" s="2"/>
      <c r="P253" s="3"/>
      <c r="Q253" s="3"/>
      <c r="T253" s="3"/>
    </row>
    <row r="254" spans="8:20" ht="14.25" customHeight="1">
      <c r="H254" s="2"/>
      <c r="K254" s="2"/>
      <c r="P254" s="3"/>
      <c r="Q254" s="3"/>
      <c r="T254" s="3"/>
    </row>
    <row r="255" spans="8:20" ht="14.25" customHeight="1">
      <c r="H255" s="2"/>
      <c r="K255" s="2"/>
      <c r="P255" s="3"/>
      <c r="Q255" s="3"/>
      <c r="T255" s="3"/>
    </row>
    <row r="256" spans="8:20" ht="14.25" customHeight="1">
      <c r="H256" s="2"/>
      <c r="K256" s="2"/>
      <c r="P256" s="3"/>
      <c r="Q256" s="3"/>
      <c r="T256" s="3"/>
    </row>
    <row r="257" spans="8:20" ht="14.25" customHeight="1">
      <c r="H257" s="2"/>
      <c r="K257" s="2"/>
      <c r="P257" s="3"/>
      <c r="Q257" s="3"/>
      <c r="T257" s="3"/>
    </row>
    <row r="258" spans="8:20" ht="14.25" customHeight="1">
      <c r="H258" s="2"/>
      <c r="K258" s="2"/>
      <c r="P258" s="3"/>
      <c r="Q258" s="3"/>
      <c r="T258" s="3"/>
    </row>
    <row r="259" spans="8:20" ht="14.25" customHeight="1">
      <c r="H259" s="2"/>
      <c r="K259" s="2"/>
      <c r="P259" s="3"/>
      <c r="Q259" s="3"/>
      <c r="T259" s="3"/>
    </row>
    <row r="260" spans="8:20" ht="14.25" customHeight="1">
      <c r="H260" s="2"/>
      <c r="K260" s="2"/>
      <c r="P260" s="3"/>
      <c r="Q260" s="3"/>
      <c r="T260" s="3"/>
    </row>
    <row r="261" spans="8:20" ht="14.25" customHeight="1">
      <c r="H261" s="2"/>
      <c r="K261" s="2"/>
      <c r="P261" s="3"/>
      <c r="Q261" s="3"/>
      <c r="T261" s="3"/>
    </row>
    <row r="262" spans="8:20" ht="14.25" customHeight="1">
      <c r="H262" s="2"/>
      <c r="K262" s="2"/>
      <c r="P262" s="3"/>
      <c r="Q262" s="3"/>
      <c r="T262" s="3"/>
    </row>
    <row r="263" spans="8:20" ht="14.25" customHeight="1">
      <c r="H263" s="2"/>
      <c r="K263" s="2"/>
      <c r="P263" s="3"/>
      <c r="Q263" s="3"/>
      <c r="T263" s="3"/>
    </row>
    <row r="264" spans="8:20" ht="14.25" customHeight="1">
      <c r="H264" s="2"/>
      <c r="K264" s="2"/>
      <c r="P264" s="3"/>
      <c r="Q264" s="3"/>
      <c r="T264" s="3"/>
    </row>
    <row r="265" spans="8:20" ht="14.25" customHeight="1">
      <c r="H265" s="2"/>
      <c r="K265" s="2"/>
      <c r="P265" s="3"/>
      <c r="Q265" s="3"/>
      <c r="T265" s="3"/>
    </row>
    <row r="266" spans="8:20" ht="14.25" customHeight="1">
      <c r="H266" s="2"/>
      <c r="K266" s="2"/>
      <c r="P266" s="3"/>
      <c r="Q266" s="3"/>
      <c r="T266" s="3"/>
    </row>
    <row r="267" spans="8:20" ht="14.25" customHeight="1">
      <c r="H267" s="2"/>
      <c r="K267" s="2"/>
      <c r="P267" s="3"/>
      <c r="Q267" s="3"/>
      <c r="T267" s="3"/>
    </row>
    <row r="268" spans="8:20" ht="14.25" customHeight="1">
      <c r="H268" s="2"/>
      <c r="K268" s="2"/>
      <c r="P268" s="3"/>
      <c r="Q268" s="3"/>
      <c r="T268" s="3"/>
    </row>
    <row r="269" spans="8:20" ht="14.25" customHeight="1">
      <c r="H269" s="2"/>
      <c r="K269" s="2"/>
      <c r="P269" s="3"/>
      <c r="Q269" s="3"/>
      <c r="T269" s="3"/>
    </row>
    <row r="270" spans="8:20" ht="14.25" customHeight="1">
      <c r="H270" s="2"/>
      <c r="K270" s="2"/>
      <c r="P270" s="3"/>
      <c r="Q270" s="3"/>
      <c r="T270" s="3"/>
    </row>
    <row r="271" spans="8:20" ht="14.25" customHeight="1">
      <c r="H271" s="2"/>
      <c r="K271" s="2"/>
      <c r="P271" s="3"/>
      <c r="Q271" s="3"/>
      <c r="T271" s="3"/>
    </row>
    <row r="272" spans="8:20" ht="14.25" customHeight="1">
      <c r="H272" s="2"/>
      <c r="K272" s="2"/>
      <c r="P272" s="3"/>
      <c r="Q272" s="3"/>
      <c r="T272" s="3"/>
    </row>
    <row r="273" spans="8:20" ht="14.25" customHeight="1">
      <c r="H273" s="2"/>
      <c r="K273" s="2"/>
      <c r="P273" s="3"/>
      <c r="Q273" s="3"/>
      <c r="T273" s="3"/>
    </row>
    <row r="274" spans="8:20" ht="14.25" customHeight="1">
      <c r="H274" s="2"/>
      <c r="K274" s="2"/>
      <c r="P274" s="3"/>
      <c r="Q274" s="3"/>
      <c r="T274" s="3"/>
    </row>
    <row r="275" spans="8:20" ht="14.25" customHeight="1">
      <c r="H275" s="2"/>
      <c r="K275" s="2"/>
      <c r="P275" s="3"/>
      <c r="Q275" s="3"/>
      <c r="T275" s="3"/>
    </row>
    <row r="276" spans="8:20" ht="14.25" customHeight="1">
      <c r="H276" s="2"/>
      <c r="K276" s="2"/>
      <c r="P276" s="3"/>
      <c r="Q276" s="3"/>
      <c r="T276" s="3"/>
    </row>
    <row r="277" spans="8:20" ht="14.25" customHeight="1">
      <c r="H277" s="2"/>
      <c r="K277" s="2"/>
      <c r="P277" s="3"/>
      <c r="Q277" s="3"/>
      <c r="T277" s="3"/>
    </row>
    <row r="278" spans="8:20" ht="14.25" customHeight="1">
      <c r="H278" s="2"/>
      <c r="K278" s="2"/>
      <c r="P278" s="3"/>
      <c r="Q278" s="3"/>
      <c r="T278" s="3"/>
    </row>
    <row r="279" spans="8:20" ht="14.25" customHeight="1">
      <c r="H279" s="2"/>
      <c r="K279" s="2"/>
      <c r="P279" s="3"/>
      <c r="Q279" s="3"/>
      <c r="T279" s="3"/>
    </row>
    <row r="280" spans="8:20" ht="14.25" customHeight="1">
      <c r="H280" s="2"/>
      <c r="K280" s="2"/>
      <c r="P280" s="3"/>
      <c r="Q280" s="3"/>
      <c r="T280" s="3"/>
    </row>
    <row r="281" spans="8:20" ht="14.25" customHeight="1">
      <c r="H281" s="2"/>
      <c r="K281" s="2"/>
      <c r="P281" s="3"/>
      <c r="Q281" s="3"/>
      <c r="T281" s="3"/>
    </row>
    <row r="282" spans="8:20" ht="14.25" customHeight="1">
      <c r="H282" s="2"/>
      <c r="K282" s="2"/>
      <c r="P282" s="3"/>
      <c r="Q282" s="3"/>
      <c r="T282" s="3"/>
    </row>
    <row r="283" spans="8:20" ht="14.25" customHeight="1">
      <c r="H283" s="2"/>
      <c r="K283" s="2"/>
      <c r="P283" s="3"/>
      <c r="Q283" s="3"/>
      <c r="T283" s="3"/>
    </row>
    <row r="284" spans="8:20" ht="14.25" customHeight="1">
      <c r="H284" s="2"/>
      <c r="K284" s="2"/>
      <c r="P284" s="3"/>
      <c r="Q284" s="3"/>
      <c r="T284" s="3"/>
    </row>
    <row r="285" spans="8:20" ht="14.25" customHeight="1">
      <c r="H285" s="2"/>
      <c r="K285" s="2"/>
      <c r="P285" s="3"/>
      <c r="Q285" s="3"/>
      <c r="T285" s="3"/>
    </row>
    <row r="286" spans="8:20" ht="14.25" customHeight="1">
      <c r="H286" s="2"/>
      <c r="K286" s="2"/>
      <c r="P286" s="3"/>
      <c r="Q286" s="3"/>
      <c r="T286" s="3"/>
    </row>
    <row r="287" spans="8:20" ht="14.25" customHeight="1">
      <c r="H287" s="2"/>
      <c r="K287" s="2"/>
      <c r="P287" s="3"/>
      <c r="Q287" s="3"/>
      <c r="T287" s="3"/>
    </row>
    <row r="288" spans="8:20" ht="14.25" customHeight="1">
      <c r="H288" s="2"/>
      <c r="K288" s="2"/>
      <c r="P288" s="3"/>
      <c r="Q288" s="3"/>
      <c r="T288" s="3"/>
    </row>
    <row r="289" spans="8:20" ht="14.25" customHeight="1">
      <c r="H289" s="2"/>
      <c r="K289" s="2"/>
      <c r="P289" s="3"/>
      <c r="Q289" s="3"/>
      <c r="T289" s="3"/>
    </row>
    <row r="290" spans="8:20" ht="14.25" customHeight="1">
      <c r="H290" s="2"/>
      <c r="K290" s="2"/>
      <c r="P290" s="3"/>
      <c r="Q290" s="3"/>
      <c r="T290" s="3"/>
    </row>
    <row r="291" spans="8:20" ht="14.25" customHeight="1">
      <c r="H291" s="2"/>
      <c r="K291" s="2"/>
      <c r="P291" s="3"/>
      <c r="Q291" s="3"/>
      <c r="T291" s="3"/>
    </row>
    <row r="292" spans="8:20" ht="14.25" customHeight="1">
      <c r="H292" s="2"/>
      <c r="K292" s="2"/>
      <c r="P292" s="3"/>
      <c r="Q292" s="3"/>
      <c r="T292" s="3"/>
    </row>
    <row r="293" spans="8:20" ht="14.25" customHeight="1">
      <c r="H293" s="2"/>
      <c r="K293" s="2"/>
      <c r="P293" s="3"/>
      <c r="Q293" s="3"/>
      <c r="T293" s="3"/>
    </row>
    <row r="294" spans="8:20" ht="14.25" customHeight="1">
      <c r="H294" s="2"/>
      <c r="K294" s="2"/>
      <c r="P294" s="3"/>
      <c r="Q294" s="3"/>
      <c r="T294" s="3"/>
    </row>
    <row r="295" spans="8:20" ht="14.25" customHeight="1">
      <c r="H295" s="2"/>
      <c r="K295" s="2"/>
      <c r="P295" s="3"/>
      <c r="Q295" s="3"/>
      <c r="T295" s="3"/>
    </row>
    <row r="296" spans="8:20" ht="14.25" customHeight="1">
      <c r="H296" s="2"/>
      <c r="K296" s="2"/>
      <c r="P296" s="3"/>
      <c r="Q296" s="3"/>
      <c r="T296" s="3"/>
    </row>
    <row r="297" spans="8:20" ht="14.25" customHeight="1">
      <c r="H297" s="2"/>
      <c r="K297" s="2"/>
      <c r="P297" s="3"/>
      <c r="Q297" s="3"/>
      <c r="T297" s="3"/>
    </row>
    <row r="298" spans="8:20" ht="14.25" customHeight="1">
      <c r="H298" s="2"/>
      <c r="K298" s="2"/>
      <c r="P298" s="3"/>
      <c r="Q298" s="3"/>
      <c r="T298" s="3"/>
    </row>
    <row r="299" spans="8:20" ht="14.25" customHeight="1">
      <c r="H299" s="2"/>
      <c r="K299" s="2"/>
      <c r="P299" s="3"/>
      <c r="Q299" s="3"/>
      <c r="T299" s="3"/>
    </row>
    <row r="300" spans="8:20" ht="14.25" customHeight="1">
      <c r="H300" s="2"/>
      <c r="K300" s="2"/>
      <c r="P300" s="3"/>
      <c r="Q300" s="3"/>
      <c r="T300" s="3"/>
    </row>
    <row r="301" spans="8:20" ht="14.25" customHeight="1">
      <c r="H301" s="2"/>
      <c r="K301" s="2"/>
      <c r="P301" s="3"/>
      <c r="Q301" s="3"/>
      <c r="T301" s="3"/>
    </row>
    <row r="302" spans="8:20" ht="14.25" customHeight="1">
      <c r="H302" s="2"/>
      <c r="K302" s="2"/>
      <c r="P302" s="3"/>
      <c r="Q302" s="3"/>
      <c r="T302" s="3"/>
    </row>
    <row r="303" spans="8:20" ht="14.25" customHeight="1">
      <c r="H303" s="2"/>
      <c r="K303" s="2"/>
      <c r="P303" s="3"/>
      <c r="Q303" s="3"/>
      <c r="T303" s="3"/>
    </row>
    <row r="304" spans="8:20" ht="14.25" customHeight="1">
      <c r="H304" s="2"/>
      <c r="K304" s="2"/>
      <c r="P304" s="3"/>
      <c r="Q304" s="3"/>
      <c r="T304" s="3"/>
    </row>
    <row r="305" spans="8:20" ht="14.25" customHeight="1">
      <c r="H305" s="2"/>
      <c r="K305" s="2"/>
      <c r="P305" s="3"/>
      <c r="Q305" s="3"/>
      <c r="T305" s="3"/>
    </row>
    <row r="306" spans="8:20" ht="14.25" customHeight="1">
      <c r="H306" s="2"/>
      <c r="K306" s="2"/>
      <c r="P306" s="3"/>
      <c r="Q306" s="3"/>
      <c r="T306" s="3"/>
    </row>
    <row r="307" spans="8:20" ht="14.25" customHeight="1">
      <c r="H307" s="2"/>
      <c r="K307" s="2"/>
      <c r="P307" s="3"/>
      <c r="Q307" s="3"/>
      <c r="T307" s="3"/>
    </row>
    <row r="308" spans="8:20" ht="14.25" customHeight="1">
      <c r="H308" s="2"/>
      <c r="K308" s="2"/>
      <c r="P308" s="3"/>
      <c r="Q308" s="3"/>
      <c r="T308" s="3"/>
    </row>
    <row r="309" spans="8:20" ht="14.25" customHeight="1">
      <c r="H309" s="2"/>
      <c r="K309" s="2"/>
      <c r="P309" s="3"/>
      <c r="Q309" s="3"/>
      <c r="T309" s="3"/>
    </row>
    <row r="310" spans="8:20" ht="14.25" customHeight="1">
      <c r="H310" s="2"/>
      <c r="K310" s="2"/>
      <c r="P310" s="3"/>
      <c r="Q310" s="3"/>
      <c r="T310" s="3"/>
    </row>
    <row r="311" spans="8:20" ht="14.25" customHeight="1">
      <c r="H311" s="2"/>
      <c r="K311" s="2"/>
      <c r="P311" s="3"/>
      <c r="Q311" s="3"/>
      <c r="T311" s="3"/>
    </row>
    <row r="312" spans="8:20" ht="14.25" customHeight="1">
      <c r="H312" s="2"/>
      <c r="K312" s="2"/>
      <c r="P312" s="3"/>
      <c r="Q312" s="3"/>
      <c r="T312" s="3"/>
    </row>
    <row r="313" spans="8:20" ht="14.25" customHeight="1">
      <c r="H313" s="2"/>
      <c r="K313" s="2"/>
      <c r="P313" s="3"/>
      <c r="Q313" s="3"/>
      <c r="T313" s="3"/>
    </row>
    <row r="314" spans="8:20" ht="14.25" customHeight="1">
      <c r="H314" s="2"/>
      <c r="K314" s="2"/>
      <c r="P314" s="3"/>
      <c r="Q314" s="3"/>
      <c r="T314" s="3"/>
    </row>
    <row r="315" spans="8:20" ht="14.25" customHeight="1">
      <c r="H315" s="2"/>
      <c r="K315" s="2"/>
      <c r="P315" s="3"/>
      <c r="Q315" s="3"/>
      <c r="T315" s="3"/>
    </row>
    <row r="316" spans="8:20" ht="14.25" customHeight="1">
      <c r="H316" s="2"/>
      <c r="K316" s="2"/>
      <c r="P316" s="3"/>
      <c r="Q316" s="3"/>
      <c r="T316" s="3"/>
    </row>
    <row r="317" spans="8:20" ht="14.25" customHeight="1">
      <c r="H317" s="2"/>
      <c r="K317" s="2"/>
      <c r="P317" s="3"/>
      <c r="Q317" s="3"/>
      <c r="T317" s="3"/>
    </row>
    <row r="318" spans="8:20" ht="14.25" customHeight="1">
      <c r="H318" s="2"/>
      <c r="K318" s="2"/>
      <c r="P318" s="3"/>
      <c r="Q318" s="3"/>
      <c r="T318" s="3"/>
    </row>
    <row r="319" spans="8:20" ht="14.25" customHeight="1">
      <c r="H319" s="2"/>
      <c r="K319" s="2"/>
      <c r="P319" s="3"/>
      <c r="Q319" s="3"/>
      <c r="T319" s="3"/>
    </row>
    <row r="320" spans="8:20" ht="14.25" customHeight="1">
      <c r="H320" s="2"/>
      <c r="K320" s="2"/>
      <c r="P320" s="3"/>
      <c r="Q320" s="3"/>
      <c r="T320" s="3"/>
    </row>
    <row r="321" spans="8:20" ht="14.25" customHeight="1">
      <c r="H321" s="2"/>
      <c r="K321" s="2"/>
      <c r="P321" s="3"/>
      <c r="Q321" s="3"/>
      <c r="T321" s="3"/>
    </row>
    <row r="322" spans="8:20" ht="14.25" customHeight="1">
      <c r="H322" s="2"/>
      <c r="K322" s="2"/>
      <c r="P322" s="3"/>
      <c r="Q322" s="3"/>
      <c r="T322" s="3"/>
    </row>
    <row r="323" spans="8:20" ht="14.25" customHeight="1">
      <c r="H323" s="2"/>
      <c r="K323" s="2"/>
      <c r="P323" s="3"/>
      <c r="Q323" s="3"/>
      <c r="T323" s="3"/>
    </row>
    <row r="324" spans="8:20" ht="14.25" customHeight="1">
      <c r="H324" s="2"/>
      <c r="K324" s="2"/>
      <c r="P324" s="3"/>
      <c r="Q324" s="3"/>
      <c r="T324" s="3"/>
    </row>
    <row r="325" spans="8:20" ht="14.25" customHeight="1">
      <c r="H325" s="2"/>
      <c r="K325" s="2"/>
      <c r="P325" s="3"/>
      <c r="Q325" s="3"/>
      <c r="T325" s="3"/>
    </row>
    <row r="326" spans="8:20" ht="14.25" customHeight="1">
      <c r="H326" s="2"/>
      <c r="K326" s="2"/>
      <c r="P326" s="3"/>
      <c r="Q326" s="3"/>
      <c r="T326" s="3"/>
    </row>
    <row r="327" spans="8:20" ht="14.25" customHeight="1">
      <c r="H327" s="2"/>
      <c r="K327" s="2"/>
      <c r="P327" s="3"/>
      <c r="Q327" s="3"/>
      <c r="T327" s="3"/>
    </row>
    <row r="328" spans="8:20" ht="14.25" customHeight="1">
      <c r="H328" s="2"/>
      <c r="K328" s="2"/>
      <c r="P328" s="3"/>
      <c r="Q328" s="3"/>
      <c r="T328" s="3"/>
    </row>
    <row r="329" spans="8:20" ht="14.25" customHeight="1">
      <c r="H329" s="2"/>
      <c r="K329" s="2"/>
      <c r="P329" s="3"/>
      <c r="Q329" s="3"/>
      <c r="T329" s="3"/>
    </row>
    <row r="330" spans="8:20" ht="14.25" customHeight="1">
      <c r="H330" s="2"/>
      <c r="K330" s="2"/>
      <c r="P330" s="3"/>
      <c r="Q330" s="3"/>
      <c r="T330" s="3"/>
    </row>
    <row r="331" spans="8:20" ht="14.25" customHeight="1">
      <c r="H331" s="2"/>
      <c r="K331" s="2"/>
      <c r="P331" s="3"/>
      <c r="Q331" s="3"/>
      <c r="T331" s="3"/>
    </row>
    <row r="332" spans="8:20" ht="14.25" customHeight="1">
      <c r="H332" s="2"/>
      <c r="K332" s="2"/>
      <c r="P332" s="3"/>
      <c r="Q332" s="3"/>
      <c r="T332" s="3"/>
    </row>
    <row r="333" spans="8:20" ht="14.25" customHeight="1">
      <c r="H333" s="2"/>
      <c r="K333" s="2"/>
      <c r="P333" s="3"/>
      <c r="Q333" s="3"/>
      <c r="T333" s="3"/>
    </row>
    <row r="334" spans="8:20" ht="14.25" customHeight="1">
      <c r="H334" s="2"/>
      <c r="K334" s="2"/>
      <c r="P334" s="3"/>
      <c r="Q334" s="3"/>
      <c r="T334" s="3"/>
    </row>
    <row r="335" spans="8:20" ht="14.25" customHeight="1">
      <c r="H335" s="2"/>
      <c r="K335" s="2"/>
      <c r="P335" s="3"/>
      <c r="Q335" s="3"/>
      <c r="T335" s="3"/>
    </row>
    <row r="336" spans="8:20" ht="14.25" customHeight="1">
      <c r="H336" s="2"/>
      <c r="K336" s="2"/>
      <c r="P336" s="3"/>
      <c r="Q336" s="3"/>
      <c r="T336" s="3"/>
    </row>
    <row r="337" spans="8:20" ht="14.25" customHeight="1">
      <c r="H337" s="2"/>
      <c r="K337" s="2"/>
      <c r="P337" s="3"/>
      <c r="Q337" s="3"/>
      <c r="T337" s="3"/>
    </row>
    <row r="338" spans="8:20" ht="14.25" customHeight="1">
      <c r="H338" s="2"/>
      <c r="K338" s="2"/>
      <c r="P338" s="3"/>
      <c r="Q338" s="3"/>
      <c r="T338" s="3"/>
    </row>
    <row r="339" spans="8:20" ht="14.25" customHeight="1">
      <c r="H339" s="2"/>
      <c r="K339" s="2"/>
      <c r="P339" s="3"/>
      <c r="Q339" s="3"/>
      <c r="T339" s="3"/>
    </row>
    <row r="340" spans="8:20" ht="14.25" customHeight="1">
      <c r="H340" s="2"/>
      <c r="K340" s="2"/>
      <c r="P340" s="3"/>
      <c r="Q340" s="3"/>
      <c r="T340" s="3"/>
    </row>
    <row r="341" spans="8:20" ht="14.25" customHeight="1">
      <c r="H341" s="2"/>
      <c r="K341" s="2"/>
      <c r="P341" s="3"/>
      <c r="Q341" s="3"/>
      <c r="T341" s="3"/>
    </row>
    <row r="342" spans="8:20" ht="14.25" customHeight="1">
      <c r="H342" s="2"/>
      <c r="K342" s="2"/>
      <c r="P342" s="3"/>
      <c r="Q342" s="3"/>
      <c r="T342" s="3"/>
    </row>
    <row r="343" spans="8:20" ht="14.25" customHeight="1">
      <c r="H343" s="2"/>
      <c r="K343" s="2"/>
      <c r="P343" s="3"/>
      <c r="Q343" s="3"/>
      <c r="T343" s="3"/>
    </row>
    <row r="344" spans="8:20" ht="14.25" customHeight="1">
      <c r="H344" s="2"/>
      <c r="K344" s="2"/>
      <c r="P344" s="3"/>
      <c r="Q344" s="3"/>
      <c r="T344" s="3"/>
    </row>
    <row r="345" spans="8:20" ht="14.25" customHeight="1">
      <c r="H345" s="2"/>
      <c r="K345" s="2"/>
      <c r="P345" s="3"/>
      <c r="Q345" s="3"/>
      <c r="T345" s="3"/>
    </row>
    <row r="346" spans="8:20" ht="14.25" customHeight="1">
      <c r="H346" s="2"/>
      <c r="K346" s="2"/>
      <c r="P346" s="3"/>
      <c r="Q346" s="3"/>
      <c r="T346" s="3"/>
    </row>
    <row r="347" spans="8:20" ht="14.25" customHeight="1">
      <c r="H347" s="2"/>
      <c r="K347" s="2"/>
      <c r="P347" s="3"/>
      <c r="Q347" s="3"/>
      <c r="T347" s="3"/>
    </row>
    <row r="348" spans="8:20" ht="14.25" customHeight="1">
      <c r="H348" s="2"/>
      <c r="K348" s="2"/>
      <c r="P348" s="3"/>
      <c r="Q348" s="3"/>
      <c r="T348" s="3"/>
    </row>
    <row r="349" spans="8:20" ht="14.25" customHeight="1">
      <c r="H349" s="2"/>
      <c r="K349" s="2"/>
      <c r="P349" s="3"/>
      <c r="Q349" s="3"/>
      <c r="T349" s="3"/>
    </row>
    <row r="350" spans="8:20" ht="14.25" customHeight="1">
      <c r="H350" s="2"/>
      <c r="K350" s="2"/>
      <c r="P350" s="3"/>
      <c r="Q350" s="3"/>
      <c r="T350" s="3"/>
    </row>
    <row r="351" spans="8:20" ht="14.25" customHeight="1">
      <c r="H351" s="2"/>
      <c r="K351" s="2"/>
      <c r="P351" s="3"/>
      <c r="Q351" s="3"/>
      <c r="T351" s="3"/>
    </row>
    <row r="352" spans="8:20" ht="14.25" customHeight="1">
      <c r="H352" s="2"/>
      <c r="K352" s="2"/>
      <c r="P352" s="3"/>
      <c r="Q352" s="3"/>
      <c r="T352" s="3"/>
    </row>
    <row r="353" spans="8:20" ht="14.25" customHeight="1">
      <c r="H353" s="2"/>
      <c r="K353" s="2"/>
      <c r="P353" s="3"/>
      <c r="Q353" s="3"/>
      <c r="T353" s="3"/>
    </row>
    <row r="354" spans="8:20" ht="14.25" customHeight="1">
      <c r="H354" s="2"/>
      <c r="K354" s="2"/>
      <c r="P354" s="3"/>
      <c r="Q354" s="3"/>
      <c r="T354" s="3"/>
    </row>
    <row r="355" spans="8:20" ht="14.25" customHeight="1">
      <c r="H355" s="2"/>
      <c r="K355" s="2"/>
      <c r="P355" s="3"/>
      <c r="Q355" s="3"/>
      <c r="T355" s="3"/>
    </row>
    <row r="356" spans="8:20" ht="14.25" customHeight="1">
      <c r="H356" s="2"/>
      <c r="K356" s="2"/>
      <c r="P356" s="3"/>
      <c r="Q356" s="3"/>
      <c r="T356" s="3"/>
    </row>
    <row r="357" spans="8:20" ht="14.25" customHeight="1">
      <c r="H357" s="2"/>
      <c r="K357" s="2"/>
      <c r="P357" s="3"/>
      <c r="Q357" s="3"/>
      <c r="T357" s="3"/>
    </row>
    <row r="358" spans="8:20" ht="14.25" customHeight="1">
      <c r="H358" s="2"/>
      <c r="K358" s="2"/>
      <c r="P358" s="3"/>
      <c r="Q358" s="3"/>
      <c r="T358" s="3"/>
    </row>
    <row r="359" spans="8:20" ht="14.25" customHeight="1">
      <c r="H359" s="2"/>
      <c r="K359" s="2"/>
      <c r="P359" s="3"/>
      <c r="Q359" s="3"/>
      <c r="T359" s="3"/>
    </row>
    <row r="360" spans="8:20" ht="14.25" customHeight="1">
      <c r="H360" s="2"/>
      <c r="K360" s="2"/>
      <c r="P360" s="3"/>
      <c r="Q360" s="3"/>
      <c r="T360" s="3"/>
    </row>
    <row r="361" spans="8:20" ht="14.25" customHeight="1">
      <c r="H361" s="2"/>
      <c r="K361" s="2"/>
      <c r="P361" s="3"/>
      <c r="Q361" s="3"/>
      <c r="T361" s="3"/>
    </row>
    <row r="362" spans="8:20" ht="14.25" customHeight="1">
      <c r="H362" s="2"/>
      <c r="K362" s="2"/>
      <c r="P362" s="3"/>
      <c r="Q362" s="3"/>
      <c r="T362" s="3"/>
    </row>
    <row r="363" spans="8:20" ht="14.25" customHeight="1">
      <c r="H363" s="2"/>
      <c r="K363" s="2"/>
      <c r="P363" s="3"/>
      <c r="Q363" s="3"/>
      <c r="T363" s="3"/>
    </row>
    <row r="364" spans="8:20" ht="14.25" customHeight="1">
      <c r="H364" s="2"/>
      <c r="K364" s="2"/>
      <c r="P364" s="3"/>
      <c r="Q364" s="3"/>
      <c r="T364" s="3"/>
    </row>
    <row r="365" spans="8:20" ht="14.25" customHeight="1">
      <c r="H365" s="2"/>
      <c r="K365" s="2"/>
      <c r="P365" s="3"/>
      <c r="Q365" s="3"/>
      <c r="T365" s="3"/>
    </row>
    <row r="366" spans="8:20" ht="14.25" customHeight="1">
      <c r="H366" s="2"/>
      <c r="K366" s="2"/>
      <c r="P366" s="3"/>
      <c r="Q366" s="3"/>
      <c r="T366" s="3"/>
    </row>
    <row r="367" spans="8:20" ht="14.25" customHeight="1">
      <c r="H367" s="2"/>
      <c r="K367" s="2"/>
      <c r="P367" s="3"/>
      <c r="Q367" s="3"/>
      <c r="T367" s="3"/>
    </row>
    <row r="368" spans="8:20" ht="14.25" customHeight="1">
      <c r="H368" s="2"/>
      <c r="K368" s="2"/>
      <c r="P368" s="3"/>
      <c r="Q368" s="3"/>
      <c r="T368" s="3"/>
    </row>
    <row r="369" spans="8:20" ht="14.25" customHeight="1">
      <c r="H369" s="2"/>
      <c r="K369" s="2"/>
      <c r="P369" s="3"/>
      <c r="Q369" s="3"/>
      <c r="T369" s="3"/>
    </row>
    <row r="370" spans="8:20" ht="14.25" customHeight="1">
      <c r="H370" s="2"/>
      <c r="K370" s="2"/>
      <c r="P370" s="3"/>
      <c r="Q370" s="3"/>
      <c r="T370" s="3"/>
    </row>
    <row r="371" spans="8:20" ht="14.25" customHeight="1">
      <c r="H371" s="2"/>
      <c r="K371" s="2"/>
      <c r="P371" s="3"/>
      <c r="Q371" s="3"/>
      <c r="T371" s="3"/>
    </row>
    <row r="372" spans="8:20" ht="14.25" customHeight="1">
      <c r="H372" s="2"/>
      <c r="K372" s="2"/>
      <c r="P372" s="3"/>
      <c r="Q372" s="3"/>
      <c r="T372" s="3"/>
    </row>
    <row r="373" spans="8:20" ht="14.25" customHeight="1">
      <c r="H373" s="2"/>
      <c r="K373" s="2"/>
      <c r="P373" s="3"/>
      <c r="Q373" s="3"/>
      <c r="T373" s="3"/>
    </row>
    <row r="374" spans="8:20" ht="14.25" customHeight="1">
      <c r="H374" s="2"/>
      <c r="K374" s="2"/>
      <c r="P374" s="3"/>
      <c r="Q374" s="3"/>
      <c r="T374" s="3"/>
    </row>
    <row r="375" spans="8:20" ht="14.25" customHeight="1">
      <c r="H375" s="2"/>
      <c r="K375" s="2"/>
      <c r="P375" s="3"/>
      <c r="Q375" s="3"/>
      <c r="T375" s="3"/>
    </row>
    <row r="376" spans="8:20" ht="14.25" customHeight="1">
      <c r="H376" s="2"/>
      <c r="K376" s="2"/>
      <c r="P376" s="3"/>
      <c r="Q376" s="3"/>
      <c r="T376" s="3"/>
    </row>
    <row r="377" spans="8:20" ht="14.25" customHeight="1">
      <c r="H377" s="2"/>
      <c r="K377" s="2"/>
      <c r="P377" s="3"/>
      <c r="Q377" s="3"/>
      <c r="T377" s="3"/>
    </row>
    <row r="378" spans="8:20" ht="14.25" customHeight="1">
      <c r="H378" s="2"/>
      <c r="K378" s="2"/>
      <c r="P378" s="3"/>
      <c r="Q378" s="3"/>
      <c r="T378" s="3"/>
    </row>
    <row r="379" spans="8:20" ht="14.25" customHeight="1">
      <c r="H379" s="2"/>
      <c r="K379" s="2"/>
      <c r="P379" s="3"/>
      <c r="Q379" s="3"/>
      <c r="T379" s="3"/>
    </row>
    <row r="380" spans="8:20" ht="14.25" customHeight="1">
      <c r="H380" s="2"/>
      <c r="K380" s="2"/>
      <c r="P380" s="3"/>
      <c r="Q380" s="3"/>
      <c r="T380" s="3"/>
    </row>
    <row r="381" spans="8:20" ht="14.25" customHeight="1">
      <c r="H381" s="2"/>
      <c r="K381" s="2"/>
      <c r="P381" s="3"/>
      <c r="Q381" s="3"/>
      <c r="T381" s="3"/>
    </row>
    <row r="382" spans="8:20" ht="14.25" customHeight="1">
      <c r="H382" s="2"/>
      <c r="K382" s="2"/>
      <c r="P382" s="3"/>
      <c r="Q382" s="3"/>
      <c r="T382" s="3"/>
    </row>
    <row r="383" spans="8:20" ht="14.25" customHeight="1">
      <c r="H383" s="2"/>
      <c r="K383" s="2"/>
      <c r="P383" s="3"/>
      <c r="Q383" s="3"/>
      <c r="T383" s="3"/>
    </row>
    <row r="384" spans="8:20" ht="14.25" customHeight="1">
      <c r="H384" s="2"/>
      <c r="K384" s="2"/>
      <c r="P384" s="3"/>
      <c r="Q384" s="3"/>
      <c r="T384" s="3"/>
    </row>
    <row r="385" spans="8:20" ht="14.25" customHeight="1">
      <c r="H385" s="2"/>
      <c r="K385" s="2"/>
      <c r="P385" s="3"/>
      <c r="Q385" s="3"/>
      <c r="T385" s="3"/>
    </row>
    <row r="386" spans="8:20" ht="14.25" customHeight="1">
      <c r="H386" s="2"/>
      <c r="K386" s="2"/>
      <c r="P386" s="3"/>
      <c r="Q386" s="3"/>
      <c r="T386" s="3"/>
    </row>
    <row r="387" spans="8:20" ht="14.25" customHeight="1">
      <c r="H387" s="2"/>
      <c r="K387" s="2"/>
      <c r="P387" s="3"/>
      <c r="Q387" s="3"/>
      <c r="T387" s="3"/>
    </row>
    <row r="388" spans="8:20" ht="14.25" customHeight="1">
      <c r="H388" s="2"/>
      <c r="K388" s="2"/>
      <c r="P388" s="3"/>
      <c r="Q388" s="3"/>
      <c r="T388" s="3"/>
    </row>
    <row r="389" spans="8:20" ht="14.25" customHeight="1">
      <c r="H389" s="2"/>
      <c r="K389" s="2"/>
      <c r="P389" s="3"/>
      <c r="Q389" s="3"/>
      <c r="T389" s="3"/>
    </row>
    <row r="390" spans="8:20" ht="14.25" customHeight="1">
      <c r="H390" s="2"/>
      <c r="K390" s="2"/>
      <c r="P390" s="3"/>
      <c r="Q390" s="3"/>
      <c r="T390" s="3"/>
    </row>
    <row r="391" spans="8:20" ht="14.25" customHeight="1">
      <c r="H391" s="2"/>
      <c r="K391" s="2"/>
      <c r="P391" s="3"/>
      <c r="Q391" s="3"/>
      <c r="T391" s="3"/>
    </row>
    <row r="392" spans="8:20" ht="14.25" customHeight="1">
      <c r="H392" s="2"/>
      <c r="K392" s="2"/>
      <c r="P392" s="3"/>
      <c r="Q392" s="3"/>
      <c r="T392" s="3"/>
    </row>
    <row r="393" spans="8:20" ht="14.25" customHeight="1">
      <c r="H393" s="2"/>
      <c r="K393" s="2"/>
      <c r="P393" s="3"/>
      <c r="Q393" s="3"/>
      <c r="T393" s="3"/>
    </row>
    <row r="394" spans="8:20" ht="14.25" customHeight="1">
      <c r="H394" s="2"/>
      <c r="K394" s="2"/>
      <c r="P394" s="3"/>
      <c r="Q394" s="3"/>
      <c r="T394" s="3"/>
    </row>
    <row r="395" spans="8:20" ht="14.25" customHeight="1">
      <c r="H395" s="2"/>
      <c r="K395" s="2"/>
      <c r="P395" s="3"/>
      <c r="Q395" s="3"/>
      <c r="T395" s="3"/>
    </row>
    <row r="396" spans="8:20" ht="14.25" customHeight="1">
      <c r="H396" s="2"/>
      <c r="K396" s="2"/>
      <c r="P396" s="3"/>
      <c r="Q396" s="3"/>
      <c r="T396" s="3"/>
    </row>
    <row r="397" spans="8:20" ht="14.25" customHeight="1">
      <c r="H397" s="2"/>
      <c r="K397" s="2"/>
      <c r="P397" s="3"/>
      <c r="Q397" s="3"/>
      <c r="T397" s="3"/>
    </row>
    <row r="398" spans="8:20" ht="14.25" customHeight="1">
      <c r="H398" s="2"/>
      <c r="K398" s="2"/>
      <c r="P398" s="3"/>
      <c r="Q398" s="3"/>
      <c r="T398" s="3"/>
    </row>
    <row r="399" spans="8:20" ht="14.25" customHeight="1">
      <c r="H399" s="2"/>
      <c r="K399" s="2"/>
      <c r="P399" s="3"/>
      <c r="Q399" s="3"/>
      <c r="T399" s="3"/>
    </row>
    <row r="400" spans="8:20" ht="14.25" customHeight="1">
      <c r="H400" s="2"/>
      <c r="K400" s="2"/>
      <c r="P400" s="3"/>
      <c r="Q400" s="3"/>
      <c r="T400" s="3"/>
    </row>
    <row r="401" spans="8:20" ht="14.25" customHeight="1">
      <c r="H401" s="2"/>
      <c r="K401" s="2"/>
      <c r="P401" s="3"/>
      <c r="Q401" s="3"/>
      <c r="T401" s="3"/>
    </row>
    <row r="402" spans="8:20" ht="14.25" customHeight="1">
      <c r="H402" s="2"/>
      <c r="K402" s="2"/>
      <c r="P402" s="3"/>
      <c r="Q402" s="3"/>
      <c r="T402" s="3"/>
    </row>
    <row r="403" spans="8:20" ht="14.25" customHeight="1">
      <c r="H403" s="2"/>
      <c r="K403" s="2"/>
      <c r="P403" s="3"/>
      <c r="Q403" s="3"/>
      <c r="T403" s="3"/>
    </row>
    <row r="404" spans="8:20" ht="14.25" customHeight="1">
      <c r="H404" s="2"/>
      <c r="K404" s="2"/>
      <c r="P404" s="3"/>
      <c r="Q404" s="3"/>
      <c r="T404" s="3"/>
    </row>
    <row r="405" spans="8:20" ht="14.25" customHeight="1">
      <c r="H405" s="2"/>
      <c r="K405" s="2"/>
      <c r="P405" s="3"/>
      <c r="Q405" s="3"/>
      <c r="T405" s="3"/>
    </row>
    <row r="406" spans="8:20" ht="14.25" customHeight="1">
      <c r="H406" s="2"/>
      <c r="K406" s="2"/>
      <c r="P406" s="3"/>
      <c r="Q406" s="3"/>
      <c r="T406" s="3"/>
    </row>
    <row r="407" spans="8:20" ht="14.25" customHeight="1">
      <c r="H407" s="2"/>
      <c r="K407" s="2"/>
      <c r="P407" s="3"/>
      <c r="Q407" s="3"/>
      <c r="T407" s="3"/>
    </row>
    <row r="408" spans="8:20" ht="14.25" customHeight="1">
      <c r="H408" s="2"/>
      <c r="K408" s="2"/>
      <c r="P408" s="3"/>
      <c r="Q408" s="3"/>
      <c r="T408" s="3"/>
    </row>
    <row r="409" spans="8:20" ht="14.25" customHeight="1">
      <c r="H409" s="2"/>
      <c r="K409" s="2"/>
      <c r="P409" s="3"/>
      <c r="Q409" s="3"/>
      <c r="T409" s="3"/>
    </row>
    <row r="410" spans="8:20" ht="14.25" customHeight="1">
      <c r="H410" s="2"/>
      <c r="K410" s="2"/>
      <c r="P410" s="3"/>
      <c r="Q410" s="3"/>
      <c r="T410" s="3"/>
    </row>
    <row r="411" spans="8:20" ht="14.25" customHeight="1">
      <c r="H411" s="2"/>
      <c r="K411" s="2"/>
      <c r="P411" s="3"/>
      <c r="Q411" s="3"/>
      <c r="T411" s="3"/>
    </row>
    <row r="412" spans="8:20" ht="14.25" customHeight="1">
      <c r="H412" s="2"/>
      <c r="K412" s="2"/>
      <c r="P412" s="3"/>
      <c r="Q412" s="3"/>
      <c r="T412" s="3"/>
    </row>
    <row r="413" spans="8:20" ht="14.25" customHeight="1">
      <c r="H413" s="2"/>
      <c r="K413" s="2"/>
      <c r="P413" s="3"/>
      <c r="Q413" s="3"/>
      <c r="T413" s="3"/>
    </row>
    <row r="414" spans="8:20" ht="14.25" customHeight="1">
      <c r="H414" s="2"/>
      <c r="K414" s="2"/>
      <c r="P414" s="3"/>
      <c r="Q414" s="3"/>
      <c r="T414" s="3"/>
    </row>
    <row r="415" spans="8:20" ht="14.25" customHeight="1">
      <c r="H415" s="2"/>
      <c r="K415" s="2"/>
      <c r="P415" s="3"/>
      <c r="Q415" s="3"/>
      <c r="T415" s="3"/>
    </row>
    <row r="416" spans="8:20" ht="14.25" customHeight="1">
      <c r="H416" s="2"/>
      <c r="K416" s="2"/>
      <c r="P416" s="3"/>
      <c r="Q416" s="3"/>
      <c r="T416" s="3"/>
    </row>
    <row r="417" spans="8:20" ht="14.25" customHeight="1">
      <c r="H417" s="2"/>
      <c r="K417" s="2"/>
      <c r="P417" s="3"/>
      <c r="Q417" s="3"/>
      <c r="T417" s="3"/>
    </row>
    <row r="418" spans="8:20" ht="14.25" customHeight="1">
      <c r="H418" s="2"/>
      <c r="K418" s="2"/>
      <c r="P418" s="3"/>
      <c r="Q418" s="3"/>
      <c r="T418" s="3"/>
    </row>
    <row r="419" spans="8:20" ht="14.25" customHeight="1">
      <c r="H419" s="2"/>
      <c r="K419" s="2"/>
      <c r="P419" s="3"/>
      <c r="Q419" s="3"/>
      <c r="T419" s="3"/>
    </row>
    <row r="420" spans="8:20" ht="14.25" customHeight="1">
      <c r="H420" s="2"/>
      <c r="K420" s="2"/>
      <c r="P420" s="3"/>
      <c r="Q420" s="3"/>
      <c r="T420" s="3"/>
    </row>
    <row r="421" spans="8:20" ht="14.25" customHeight="1">
      <c r="H421" s="2"/>
      <c r="K421" s="2"/>
      <c r="P421" s="3"/>
      <c r="Q421" s="3"/>
      <c r="T421" s="3"/>
    </row>
    <row r="422" spans="8:20" ht="14.25" customHeight="1">
      <c r="H422" s="2"/>
      <c r="K422" s="2"/>
      <c r="P422" s="3"/>
      <c r="Q422" s="3"/>
      <c r="T422" s="3"/>
    </row>
    <row r="423" spans="8:20" ht="14.25" customHeight="1">
      <c r="H423" s="2"/>
      <c r="K423" s="2"/>
      <c r="P423" s="3"/>
      <c r="Q423" s="3"/>
      <c r="T423" s="3"/>
    </row>
    <row r="424" spans="8:20" ht="14.25" customHeight="1">
      <c r="H424" s="2"/>
      <c r="K424" s="2"/>
      <c r="P424" s="3"/>
      <c r="Q424" s="3"/>
      <c r="T424" s="3"/>
    </row>
    <row r="425" spans="8:20" ht="14.25" customHeight="1">
      <c r="H425" s="2"/>
      <c r="K425" s="2"/>
      <c r="P425" s="3"/>
      <c r="Q425" s="3"/>
      <c r="T425" s="3"/>
    </row>
    <row r="426" spans="8:20" ht="14.25" customHeight="1">
      <c r="H426" s="2"/>
      <c r="K426" s="2"/>
      <c r="P426" s="3"/>
      <c r="Q426" s="3"/>
      <c r="T426" s="3"/>
    </row>
    <row r="427" spans="8:20" ht="14.25" customHeight="1">
      <c r="H427" s="2"/>
      <c r="K427" s="2"/>
      <c r="P427" s="3"/>
      <c r="Q427" s="3"/>
      <c r="T427" s="3"/>
    </row>
    <row r="428" spans="8:20" ht="14.25" customHeight="1">
      <c r="H428" s="2"/>
      <c r="K428" s="2"/>
      <c r="P428" s="3"/>
      <c r="Q428" s="3"/>
      <c r="T428" s="3"/>
    </row>
    <row r="429" spans="8:20" ht="14.25" customHeight="1">
      <c r="H429" s="2"/>
      <c r="K429" s="2"/>
      <c r="P429" s="3"/>
      <c r="Q429" s="3"/>
      <c r="T429" s="3"/>
    </row>
    <row r="430" spans="8:20" ht="14.25" customHeight="1">
      <c r="H430" s="2"/>
      <c r="K430" s="2"/>
      <c r="P430" s="3"/>
      <c r="Q430" s="3"/>
      <c r="T430" s="3"/>
    </row>
    <row r="431" spans="8:20" ht="14.25" customHeight="1">
      <c r="H431" s="2"/>
      <c r="K431" s="2"/>
      <c r="P431" s="3"/>
      <c r="Q431" s="3"/>
      <c r="T431" s="3"/>
    </row>
    <row r="432" spans="8:20" ht="14.25" customHeight="1">
      <c r="H432" s="2"/>
      <c r="K432" s="2"/>
      <c r="P432" s="3"/>
      <c r="Q432" s="3"/>
      <c r="T432" s="3"/>
    </row>
    <row r="433" spans="8:20" ht="14.25" customHeight="1">
      <c r="H433" s="2"/>
      <c r="K433" s="2"/>
      <c r="P433" s="3"/>
      <c r="Q433" s="3"/>
      <c r="T433" s="3"/>
    </row>
    <row r="434" spans="8:20" ht="14.25" customHeight="1">
      <c r="H434" s="2"/>
      <c r="K434" s="2"/>
      <c r="P434" s="3"/>
      <c r="Q434" s="3"/>
      <c r="T434" s="3"/>
    </row>
    <row r="435" spans="8:20" ht="14.25" customHeight="1">
      <c r="H435" s="2"/>
      <c r="K435" s="2"/>
      <c r="P435" s="3"/>
      <c r="Q435" s="3"/>
      <c r="T435" s="3"/>
    </row>
    <row r="436" spans="8:20" ht="14.25" customHeight="1">
      <c r="H436" s="2"/>
      <c r="K436" s="2"/>
      <c r="P436" s="3"/>
      <c r="Q436" s="3"/>
      <c r="T436" s="3"/>
    </row>
    <row r="437" spans="8:20" ht="14.25" customHeight="1">
      <c r="H437" s="2"/>
      <c r="K437" s="2"/>
      <c r="P437" s="3"/>
      <c r="Q437" s="3"/>
      <c r="T437" s="3"/>
    </row>
    <row r="438" spans="8:20" ht="14.25" customHeight="1">
      <c r="H438" s="2"/>
      <c r="K438" s="2"/>
      <c r="P438" s="3"/>
      <c r="Q438" s="3"/>
      <c r="T438" s="3"/>
    </row>
    <row r="439" spans="8:20" ht="14.25" customHeight="1">
      <c r="H439" s="2"/>
      <c r="K439" s="2"/>
      <c r="P439" s="3"/>
      <c r="Q439" s="3"/>
      <c r="T439" s="3"/>
    </row>
    <row r="440" spans="8:20" ht="14.25" customHeight="1">
      <c r="H440" s="2"/>
      <c r="K440" s="2"/>
      <c r="P440" s="3"/>
      <c r="Q440" s="3"/>
      <c r="T440" s="3"/>
    </row>
    <row r="441" spans="8:20" ht="14.25" customHeight="1">
      <c r="H441" s="2"/>
      <c r="K441" s="2"/>
      <c r="P441" s="3"/>
      <c r="Q441" s="3"/>
      <c r="T441" s="3"/>
    </row>
    <row r="442" spans="8:20" ht="14.25" customHeight="1">
      <c r="H442" s="2"/>
      <c r="K442" s="2"/>
      <c r="P442" s="3"/>
      <c r="Q442" s="3"/>
      <c r="T442" s="3"/>
    </row>
    <row r="443" spans="8:20" ht="14.25" customHeight="1">
      <c r="H443" s="2"/>
      <c r="K443" s="2"/>
      <c r="P443" s="3"/>
      <c r="Q443" s="3"/>
      <c r="T443" s="3"/>
    </row>
    <row r="444" spans="8:20" ht="14.25" customHeight="1">
      <c r="H444" s="2"/>
      <c r="K444" s="2"/>
      <c r="P444" s="3"/>
      <c r="Q444" s="3"/>
      <c r="T444" s="3"/>
    </row>
    <row r="445" spans="8:20" ht="14.25" customHeight="1">
      <c r="H445" s="2"/>
      <c r="K445" s="2"/>
      <c r="P445" s="3"/>
      <c r="Q445" s="3"/>
      <c r="T445" s="3"/>
    </row>
    <row r="446" spans="8:20" ht="14.25" customHeight="1">
      <c r="H446" s="2"/>
      <c r="K446" s="2"/>
      <c r="P446" s="3"/>
      <c r="Q446" s="3"/>
      <c r="T446" s="3"/>
    </row>
    <row r="447" spans="8:20" ht="14.25" customHeight="1">
      <c r="H447" s="2"/>
      <c r="K447" s="2"/>
      <c r="P447" s="3"/>
      <c r="Q447" s="3"/>
      <c r="T447" s="3"/>
    </row>
    <row r="448" spans="8:20" ht="14.25" customHeight="1">
      <c r="H448" s="2"/>
      <c r="K448" s="2"/>
      <c r="P448" s="3"/>
      <c r="Q448" s="3"/>
      <c r="T448" s="3"/>
    </row>
    <row r="449" spans="8:20" ht="14.25" customHeight="1">
      <c r="H449" s="2"/>
      <c r="K449" s="2"/>
      <c r="P449" s="3"/>
      <c r="Q449" s="3"/>
      <c r="T449" s="3"/>
    </row>
    <row r="450" spans="8:20" ht="14.25" customHeight="1">
      <c r="H450" s="2"/>
      <c r="K450" s="2"/>
      <c r="P450" s="3"/>
      <c r="Q450" s="3"/>
      <c r="T450" s="3"/>
    </row>
    <row r="451" spans="8:20" ht="14.25" customHeight="1">
      <c r="H451" s="2"/>
      <c r="K451" s="2"/>
      <c r="P451" s="3"/>
      <c r="Q451" s="3"/>
      <c r="T451" s="3"/>
    </row>
    <row r="452" spans="8:20" ht="14.25" customHeight="1">
      <c r="H452" s="2"/>
      <c r="K452" s="2"/>
      <c r="P452" s="3"/>
      <c r="Q452" s="3"/>
      <c r="T452" s="3"/>
    </row>
    <row r="453" spans="8:20" ht="14.25" customHeight="1">
      <c r="H453" s="2"/>
      <c r="K453" s="2"/>
      <c r="P453" s="3"/>
      <c r="Q453" s="3"/>
      <c r="T453" s="3"/>
    </row>
    <row r="454" spans="8:20" ht="14.25" customHeight="1">
      <c r="H454" s="2"/>
      <c r="K454" s="2"/>
      <c r="P454" s="3"/>
      <c r="Q454" s="3"/>
      <c r="T454" s="3"/>
    </row>
    <row r="455" spans="8:20" ht="14.25" customHeight="1">
      <c r="H455" s="2"/>
      <c r="K455" s="2"/>
      <c r="P455" s="3"/>
      <c r="Q455" s="3"/>
      <c r="T455" s="3"/>
    </row>
    <row r="456" spans="8:20" ht="14.25" customHeight="1">
      <c r="H456" s="2"/>
      <c r="K456" s="2"/>
      <c r="P456" s="3"/>
      <c r="Q456" s="3"/>
      <c r="T456" s="3"/>
    </row>
    <row r="457" spans="8:20" ht="14.25" customHeight="1">
      <c r="H457" s="2"/>
      <c r="K457" s="2"/>
      <c r="P457" s="3"/>
      <c r="Q457" s="3"/>
      <c r="T457" s="3"/>
    </row>
    <row r="458" spans="8:20" ht="14.25" customHeight="1">
      <c r="H458" s="2"/>
      <c r="K458" s="2"/>
      <c r="P458" s="3"/>
      <c r="Q458" s="3"/>
      <c r="T458" s="3"/>
    </row>
    <row r="459" spans="8:20" ht="14.25" customHeight="1">
      <c r="H459" s="2"/>
      <c r="K459" s="2"/>
      <c r="P459" s="3"/>
      <c r="Q459" s="3"/>
      <c r="T459" s="3"/>
    </row>
    <row r="460" spans="8:20" ht="14.25" customHeight="1">
      <c r="H460" s="2"/>
      <c r="K460" s="2"/>
      <c r="P460" s="3"/>
      <c r="Q460" s="3"/>
      <c r="T460" s="3"/>
    </row>
    <row r="461" spans="8:20" ht="14.25" customHeight="1">
      <c r="H461" s="2"/>
      <c r="K461" s="2"/>
      <c r="P461" s="3"/>
      <c r="Q461" s="3"/>
      <c r="T461" s="3"/>
    </row>
    <row r="462" spans="8:20" ht="14.25" customHeight="1">
      <c r="H462" s="2"/>
      <c r="K462" s="2"/>
      <c r="P462" s="3"/>
      <c r="Q462" s="3"/>
      <c r="T462" s="3"/>
    </row>
    <row r="463" spans="8:20" ht="14.25" customHeight="1">
      <c r="H463" s="2"/>
      <c r="K463" s="2"/>
      <c r="P463" s="3"/>
      <c r="Q463" s="3"/>
      <c r="T463" s="3"/>
    </row>
    <row r="464" spans="8:20" ht="14.25" customHeight="1">
      <c r="H464" s="2"/>
      <c r="K464" s="2"/>
      <c r="P464" s="3"/>
      <c r="Q464" s="3"/>
      <c r="T464" s="3"/>
    </row>
    <row r="465" spans="8:20" ht="14.25" customHeight="1">
      <c r="H465" s="2"/>
      <c r="K465" s="2"/>
      <c r="P465" s="3"/>
      <c r="Q465" s="3"/>
      <c r="T465" s="3"/>
    </row>
    <row r="466" spans="8:20" ht="14.25" customHeight="1">
      <c r="H466" s="2"/>
      <c r="K466" s="2"/>
      <c r="P466" s="3"/>
      <c r="Q466" s="3"/>
      <c r="T466" s="3"/>
    </row>
    <row r="467" spans="8:20" ht="14.25" customHeight="1">
      <c r="H467" s="2"/>
      <c r="K467" s="2"/>
      <c r="P467" s="3"/>
      <c r="Q467" s="3"/>
      <c r="T467" s="3"/>
    </row>
    <row r="468" spans="8:20" ht="14.25" customHeight="1">
      <c r="H468" s="2"/>
      <c r="K468" s="2"/>
      <c r="P468" s="3"/>
      <c r="Q468" s="3"/>
      <c r="T468" s="3"/>
    </row>
    <row r="469" spans="8:20" ht="14.25" customHeight="1">
      <c r="H469" s="2"/>
      <c r="K469" s="2"/>
      <c r="P469" s="3"/>
      <c r="Q469" s="3"/>
      <c r="T469" s="3"/>
    </row>
    <row r="470" spans="8:20" ht="14.25" customHeight="1">
      <c r="H470" s="2"/>
      <c r="K470" s="2"/>
      <c r="P470" s="3"/>
      <c r="Q470" s="3"/>
      <c r="T470" s="3"/>
    </row>
    <row r="471" spans="8:20" ht="14.25" customHeight="1">
      <c r="H471" s="2"/>
      <c r="K471" s="2"/>
      <c r="P471" s="3"/>
      <c r="Q471" s="3"/>
      <c r="T471" s="3"/>
    </row>
    <row r="472" spans="8:20" ht="14.25" customHeight="1">
      <c r="H472" s="2"/>
      <c r="K472" s="2"/>
      <c r="P472" s="3"/>
      <c r="Q472" s="3"/>
      <c r="T472" s="3"/>
    </row>
    <row r="473" spans="8:20" ht="14.25" customHeight="1">
      <c r="H473" s="2"/>
      <c r="K473" s="2"/>
      <c r="P473" s="3"/>
      <c r="Q473" s="3"/>
      <c r="T473" s="3"/>
    </row>
    <row r="474" spans="8:20" ht="14.25" customHeight="1">
      <c r="H474" s="2"/>
      <c r="K474" s="2"/>
      <c r="P474" s="3"/>
      <c r="Q474" s="3"/>
      <c r="T474" s="3"/>
    </row>
    <row r="475" spans="8:20" ht="14.25" customHeight="1">
      <c r="H475" s="2"/>
      <c r="K475" s="2"/>
      <c r="P475" s="3"/>
      <c r="Q475" s="3"/>
      <c r="T475" s="3"/>
    </row>
    <row r="476" spans="8:20" ht="14.25" customHeight="1">
      <c r="H476" s="2"/>
      <c r="K476" s="2"/>
      <c r="P476" s="3"/>
      <c r="Q476" s="3"/>
      <c r="T476" s="3"/>
    </row>
    <row r="477" spans="8:20" ht="14.25" customHeight="1">
      <c r="H477" s="2"/>
      <c r="K477" s="2"/>
      <c r="P477" s="3"/>
      <c r="Q477" s="3"/>
      <c r="T477" s="3"/>
    </row>
    <row r="478" spans="8:20" ht="14.25" customHeight="1">
      <c r="H478" s="2"/>
      <c r="K478" s="2"/>
      <c r="P478" s="3"/>
      <c r="Q478" s="3"/>
      <c r="T478" s="3"/>
    </row>
    <row r="479" spans="8:20" ht="14.25" customHeight="1">
      <c r="H479" s="2"/>
      <c r="K479" s="2"/>
      <c r="P479" s="3"/>
      <c r="Q479" s="3"/>
      <c r="T479" s="3"/>
    </row>
    <row r="480" spans="8:20" ht="14.25" customHeight="1">
      <c r="H480" s="2"/>
      <c r="K480" s="2"/>
      <c r="P480" s="3"/>
      <c r="Q480" s="3"/>
      <c r="T480" s="3"/>
    </row>
    <row r="481" spans="8:20" ht="14.25" customHeight="1">
      <c r="H481" s="2"/>
      <c r="K481" s="2"/>
      <c r="P481" s="3"/>
      <c r="Q481" s="3"/>
      <c r="T481" s="3"/>
    </row>
    <row r="482" spans="8:20" ht="14.25" customHeight="1">
      <c r="H482" s="2"/>
      <c r="K482" s="2"/>
      <c r="P482" s="3"/>
      <c r="Q482" s="3"/>
      <c r="T482" s="3"/>
    </row>
    <row r="483" spans="8:20" ht="14.25" customHeight="1">
      <c r="H483" s="2"/>
      <c r="K483" s="2"/>
      <c r="P483" s="3"/>
      <c r="Q483" s="3"/>
      <c r="T483" s="3"/>
    </row>
    <row r="484" spans="8:20" ht="14.25" customHeight="1">
      <c r="H484" s="2"/>
      <c r="K484" s="2"/>
      <c r="P484" s="3"/>
      <c r="Q484" s="3"/>
      <c r="T484" s="3"/>
    </row>
    <row r="485" spans="8:20" ht="14.25" customHeight="1">
      <c r="H485" s="2"/>
      <c r="K485" s="2"/>
      <c r="P485" s="3"/>
      <c r="Q485" s="3"/>
      <c r="T485" s="3"/>
    </row>
    <row r="486" spans="8:20" ht="14.25" customHeight="1">
      <c r="H486" s="2"/>
      <c r="K486" s="2"/>
      <c r="P486" s="3"/>
      <c r="Q486" s="3"/>
      <c r="T486" s="3"/>
    </row>
    <row r="487" spans="8:20" ht="14.25" customHeight="1">
      <c r="H487" s="2"/>
      <c r="K487" s="2"/>
      <c r="P487" s="3"/>
      <c r="Q487" s="3"/>
      <c r="T487" s="3"/>
    </row>
    <row r="488" spans="8:20" ht="14.25" customHeight="1">
      <c r="H488" s="2"/>
      <c r="K488" s="2"/>
      <c r="P488" s="3"/>
      <c r="Q488" s="3"/>
      <c r="T488" s="3"/>
    </row>
    <row r="489" spans="8:20" ht="14.25" customHeight="1">
      <c r="H489" s="2"/>
      <c r="K489" s="2"/>
      <c r="P489" s="3"/>
      <c r="Q489" s="3"/>
      <c r="T489" s="3"/>
    </row>
    <row r="490" spans="8:20" ht="14.25" customHeight="1">
      <c r="H490" s="2"/>
      <c r="K490" s="2"/>
      <c r="P490" s="3"/>
      <c r="Q490" s="3"/>
      <c r="T490" s="3"/>
    </row>
    <row r="491" spans="8:20" ht="14.25" customHeight="1">
      <c r="H491" s="2"/>
      <c r="K491" s="2"/>
      <c r="P491" s="3"/>
      <c r="Q491" s="3"/>
      <c r="T491" s="3"/>
    </row>
    <row r="492" spans="8:20" ht="14.25" customHeight="1">
      <c r="H492" s="2"/>
      <c r="K492" s="2"/>
      <c r="P492" s="3"/>
      <c r="Q492" s="3"/>
      <c r="T492" s="3"/>
    </row>
    <row r="493" spans="8:20" ht="14.25" customHeight="1">
      <c r="H493" s="2"/>
      <c r="K493" s="2"/>
      <c r="P493" s="3"/>
      <c r="Q493" s="3"/>
      <c r="T493" s="3"/>
    </row>
    <row r="494" spans="8:20" ht="14.25" customHeight="1">
      <c r="H494" s="2"/>
      <c r="K494" s="2"/>
      <c r="P494" s="3"/>
      <c r="Q494" s="3"/>
      <c r="T494" s="3"/>
    </row>
    <row r="495" spans="8:20" ht="14.25" customHeight="1">
      <c r="H495" s="2"/>
      <c r="K495" s="2"/>
      <c r="P495" s="3"/>
      <c r="Q495" s="3"/>
      <c r="T495" s="3"/>
    </row>
    <row r="496" spans="8:20" ht="14.25" customHeight="1">
      <c r="H496" s="2"/>
      <c r="K496" s="2"/>
      <c r="P496" s="3"/>
      <c r="Q496" s="3"/>
      <c r="T496" s="3"/>
    </row>
    <row r="497" spans="8:20" ht="14.25" customHeight="1">
      <c r="H497" s="2"/>
      <c r="K497" s="2"/>
      <c r="P497" s="3"/>
      <c r="Q497" s="3"/>
      <c r="T497" s="3"/>
    </row>
    <row r="498" spans="8:20" ht="14.25" customHeight="1">
      <c r="H498" s="2"/>
      <c r="K498" s="2"/>
      <c r="P498" s="3"/>
      <c r="Q498" s="3"/>
      <c r="T498" s="3"/>
    </row>
    <row r="499" spans="8:20" ht="14.25" customHeight="1">
      <c r="H499" s="2"/>
      <c r="K499" s="2"/>
      <c r="P499" s="3"/>
      <c r="Q499" s="3"/>
      <c r="T499" s="3"/>
    </row>
    <row r="500" spans="8:20" ht="14.25" customHeight="1">
      <c r="H500" s="2"/>
      <c r="K500" s="2"/>
      <c r="P500" s="3"/>
      <c r="Q500" s="3"/>
      <c r="T500" s="3"/>
    </row>
    <row r="501" spans="8:20" ht="14.25" customHeight="1">
      <c r="H501" s="2"/>
      <c r="K501" s="2"/>
      <c r="P501" s="3"/>
      <c r="Q501" s="3"/>
      <c r="T501" s="3"/>
    </row>
    <row r="502" spans="8:20" ht="14.25" customHeight="1">
      <c r="H502" s="2"/>
      <c r="K502" s="2"/>
      <c r="P502" s="3"/>
      <c r="Q502" s="3"/>
      <c r="T502" s="3"/>
    </row>
    <row r="503" spans="8:20" ht="14.25" customHeight="1">
      <c r="H503" s="2"/>
      <c r="K503" s="2"/>
      <c r="P503" s="3"/>
      <c r="Q503" s="3"/>
      <c r="T503" s="3"/>
    </row>
    <row r="504" spans="8:20" ht="14.25" customHeight="1">
      <c r="H504" s="2"/>
      <c r="K504" s="2"/>
      <c r="P504" s="3"/>
      <c r="Q504" s="3"/>
      <c r="T504" s="3"/>
    </row>
    <row r="505" spans="8:20" ht="14.25" customHeight="1">
      <c r="H505" s="2"/>
      <c r="K505" s="2"/>
      <c r="P505" s="3"/>
      <c r="Q505" s="3"/>
      <c r="T505" s="3"/>
    </row>
    <row r="506" spans="8:20" ht="14.25" customHeight="1">
      <c r="H506" s="2"/>
      <c r="K506" s="2"/>
      <c r="P506" s="3"/>
      <c r="Q506" s="3"/>
      <c r="T506" s="3"/>
    </row>
    <row r="507" spans="8:20" ht="14.25" customHeight="1">
      <c r="H507" s="2"/>
      <c r="K507" s="2"/>
      <c r="P507" s="3"/>
      <c r="Q507" s="3"/>
      <c r="T507" s="3"/>
    </row>
    <row r="508" spans="8:20" ht="14.25" customHeight="1">
      <c r="H508" s="2"/>
      <c r="K508" s="2"/>
      <c r="P508" s="3"/>
      <c r="Q508" s="3"/>
      <c r="T508" s="3"/>
    </row>
    <row r="509" spans="8:20" ht="14.25" customHeight="1">
      <c r="H509" s="2"/>
      <c r="K509" s="2"/>
      <c r="P509" s="3"/>
      <c r="Q509" s="3"/>
      <c r="T509" s="3"/>
    </row>
    <row r="510" spans="8:20" ht="14.25" customHeight="1">
      <c r="H510" s="2"/>
      <c r="K510" s="2"/>
      <c r="P510" s="3"/>
      <c r="Q510" s="3"/>
      <c r="T510" s="3"/>
    </row>
    <row r="511" spans="8:20" ht="14.25" customHeight="1">
      <c r="H511" s="2"/>
      <c r="K511" s="2"/>
      <c r="P511" s="3"/>
      <c r="Q511" s="3"/>
      <c r="T511" s="3"/>
    </row>
    <row r="512" spans="8:20" ht="14.25" customHeight="1">
      <c r="H512" s="2"/>
      <c r="K512" s="2"/>
      <c r="P512" s="3"/>
      <c r="Q512" s="3"/>
      <c r="T512" s="3"/>
    </row>
    <row r="513" spans="8:20" ht="14.25" customHeight="1">
      <c r="H513" s="2"/>
      <c r="K513" s="2"/>
      <c r="P513" s="3"/>
      <c r="Q513" s="3"/>
      <c r="T513" s="3"/>
    </row>
    <row r="514" spans="8:20" ht="14.25" customHeight="1">
      <c r="H514" s="2"/>
      <c r="K514" s="2"/>
      <c r="P514" s="3"/>
      <c r="Q514" s="3"/>
      <c r="T514" s="3"/>
    </row>
    <row r="515" spans="8:20" ht="14.25" customHeight="1">
      <c r="H515" s="2"/>
      <c r="K515" s="2"/>
      <c r="P515" s="3"/>
      <c r="Q515" s="3"/>
      <c r="T515" s="3"/>
    </row>
    <row r="516" spans="8:20" ht="14.25" customHeight="1">
      <c r="H516" s="2"/>
      <c r="K516" s="2"/>
      <c r="P516" s="3"/>
      <c r="Q516" s="3"/>
      <c r="T516" s="3"/>
    </row>
    <row r="517" spans="8:20" ht="14.25" customHeight="1">
      <c r="H517" s="2"/>
      <c r="K517" s="2"/>
      <c r="P517" s="3"/>
      <c r="Q517" s="3"/>
      <c r="T517" s="3"/>
    </row>
    <row r="518" spans="8:20" ht="14.25" customHeight="1">
      <c r="H518" s="2"/>
      <c r="K518" s="2"/>
      <c r="P518" s="3"/>
      <c r="Q518" s="3"/>
      <c r="T518" s="3"/>
    </row>
    <row r="519" spans="8:20" ht="14.25" customHeight="1">
      <c r="H519" s="2"/>
      <c r="K519" s="2"/>
      <c r="P519" s="3"/>
      <c r="Q519" s="3"/>
      <c r="T519" s="3"/>
    </row>
    <row r="520" spans="8:20" ht="14.25" customHeight="1">
      <c r="H520" s="2"/>
      <c r="K520" s="2"/>
      <c r="P520" s="3"/>
      <c r="Q520" s="3"/>
      <c r="T520" s="3"/>
    </row>
    <row r="521" spans="8:20" ht="14.25" customHeight="1">
      <c r="H521" s="2"/>
      <c r="K521" s="2"/>
      <c r="P521" s="3"/>
      <c r="Q521" s="3"/>
      <c r="T521" s="3"/>
    </row>
    <row r="522" spans="8:20" ht="14.25" customHeight="1">
      <c r="H522" s="2"/>
      <c r="K522" s="2"/>
      <c r="P522" s="3"/>
      <c r="Q522" s="3"/>
      <c r="T522" s="3"/>
    </row>
    <row r="523" spans="8:20" ht="14.25" customHeight="1">
      <c r="H523" s="2"/>
      <c r="K523" s="2"/>
      <c r="P523" s="3"/>
      <c r="Q523" s="3"/>
      <c r="T523" s="3"/>
    </row>
    <row r="524" spans="8:20" ht="14.25" customHeight="1">
      <c r="H524" s="2"/>
      <c r="K524" s="2"/>
      <c r="P524" s="3"/>
      <c r="Q524" s="3"/>
      <c r="T524" s="3"/>
    </row>
    <row r="525" spans="8:20" ht="14.25" customHeight="1">
      <c r="H525" s="2"/>
      <c r="K525" s="2"/>
      <c r="P525" s="3"/>
      <c r="Q525" s="3"/>
      <c r="T525" s="3"/>
    </row>
    <row r="526" spans="8:20" ht="14.25" customHeight="1">
      <c r="H526" s="2"/>
      <c r="K526" s="2"/>
      <c r="P526" s="3"/>
      <c r="Q526" s="3"/>
      <c r="T526" s="3"/>
    </row>
    <row r="527" spans="8:20" ht="14.25" customHeight="1">
      <c r="H527" s="2"/>
      <c r="K527" s="2"/>
      <c r="P527" s="3"/>
      <c r="Q527" s="3"/>
      <c r="T527" s="3"/>
    </row>
    <row r="528" spans="8:20" ht="14.25" customHeight="1">
      <c r="H528" s="2"/>
      <c r="K528" s="2"/>
      <c r="P528" s="3"/>
      <c r="Q528" s="3"/>
      <c r="T528" s="3"/>
    </row>
    <row r="529" spans="8:20" ht="14.25" customHeight="1">
      <c r="H529" s="2"/>
      <c r="K529" s="2"/>
      <c r="P529" s="3"/>
      <c r="Q529" s="3"/>
      <c r="T529" s="3"/>
    </row>
    <row r="530" spans="8:20" ht="14.25" customHeight="1">
      <c r="H530" s="2"/>
      <c r="K530" s="2"/>
      <c r="P530" s="3"/>
      <c r="Q530" s="3"/>
      <c r="T530" s="3"/>
    </row>
    <row r="531" spans="8:20" ht="14.25" customHeight="1">
      <c r="H531" s="2"/>
      <c r="K531" s="2"/>
      <c r="P531" s="3"/>
      <c r="Q531" s="3"/>
      <c r="T531" s="3"/>
    </row>
    <row r="532" spans="8:20" ht="14.25" customHeight="1">
      <c r="H532" s="2"/>
      <c r="K532" s="2"/>
      <c r="P532" s="3"/>
      <c r="Q532" s="3"/>
      <c r="T532" s="3"/>
    </row>
    <row r="533" spans="8:20" ht="14.25" customHeight="1">
      <c r="H533" s="2"/>
      <c r="K533" s="2"/>
      <c r="P533" s="3"/>
      <c r="Q533" s="3"/>
      <c r="T533" s="3"/>
    </row>
    <row r="534" spans="8:20" ht="14.25" customHeight="1">
      <c r="H534" s="2"/>
      <c r="K534" s="2"/>
      <c r="P534" s="3"/>
      <c r="Q534" s="3"/>
      <c r="T534" s="3"/>
    </row>
    <row r="535" spans="8:20" ht="14.25" customHeight="1">
      <c r="H535" s="2"/>
      <c r="K535" s="2"/>
      <c r="P535" s="3"/>
      <c r="Q535" s="3"/>
      <c r="T535" s="3"/>
    </row>
    <row r="536" spans="8:20" ht="14.25" customHeight="1">
      <c r="H536" s="2"/>
      <c r="K536" s="2"/>
      <c r="P536" s="3"/>
      <c r="Q536" s="3"/>
      <c r="T536" s="3"/>
    </row>
    <row r="537" spans="8:20" ht="14.25" customHeight="1">
      <c r="H537" s="2"/>
      <c r="K537" s="2"/>
      <c r="P537" s="3"/>
      <c r="Q537" s="3"/>
      <c r="T537" s="3"/>
    </row>
    <row r="538" spans="8:20" ht="14.25" customHeight="1">
      <c r="H538" s="2"/>
      <c r="K538" s="2"/>
      <c r="P538" s="3"/>
      <c r="Q538" s="3"/>
      <c r="T538" s="3"/>
    </row>
    <row r="539" spans="8:20" ht="14.25" customHeight="1">
      <c r="H539" s="2"/>
      <c r="K539" s="2"/>
      <c r="P539" s="3"/>
      <c r="Q539" s="3"/>
      <c r="T539" s="3"/>
    </row>
    <row r="540" spans="8:20" ht="14.25" customHeight="1">
      <c r="H540" s="2"/>
      <c r="K540" s="2"/>
      <c r="P540" s="3"/>
      <c r="Q540" s="3"/>
      <c r="T540" s="3"/>
    </row>
    <row r="541" spans="8:20" ht="14.25" customHeight="1">
      <c r="H541" s="2"/>
      <c r="K541" s="2"/>
      <c r="P541" s="3"/>
      <c r="Q541" s="3"/>
      <c r="T541" s="3"/>
    </row>
    <row r="542" spans="8:20" ht="14.25" customHeight="1">
      <c r="H542" s="2"/>
      <c r="K542" s="2"/>
      <c r="P542" s="3"/>
      <c r="Q542" s="3"/>
      <c r="T542" s="3"/>
    </row>
    <row r="543" spans="8:20" ht="14.25" customHeight="1">
      <c r="H543" s="2"/>
      <c r="K543" s="2"/>
      <c r="P543" s="3"/>
      <c r="Q543" s="3"/>
      <c r="T543" s="3"/>
    </row>
    <row r="544" spans="8:20" ht="14.25" customHeight="1">
      <c r="H544" s="2"/>
      <c r="K544" s="2"/>
      <c r="P544" s="3"/>
      <c r="Q544" s="3"/>
      <c r="T544" s="3"/>
    </row>
    <row r="545" spans="8:20" ht="14.25" customHeight="1">
      <c r="H545" s="2"/>
      <c r="K545" s="2"/>
      <c r="P545" s="3"/>
      <c r="Q545" s="3"/>
      <c r="T545" s="3"/>
    </row>
    <row r="546" spans="8:20" ht="14.25" customHeight="1">
      <c r="H546" s="2"/>
      <c r="K546" s="2"/>
      <c r="P546" s="3"/>
      <c r="Q546" s="3"/>
      <c r="T546" s="3"/>
    </row>
    <row r="547" spans="8:20" ht="14.25" customHeight="1">
      <c r="H547" s="2"/>
      <c r="K547" s="2"/>
      <c r="P547" s="3"/>
      <c r="Q547" s="3"/>
      <c r="T547" s="3"/>
    </row>
    <row r="548" spans="8:20" ht="14.25" customHeight="1">
      <c r="H548" s="2"/>
      <c r="K548" s="2"/>
      <c r="P548" s="3"/>
      <c r="Q548" s="3"/>
      <c r="T548" s="3"/>
    </row>
    <row r="549" spans="8:20" ht="14.25" customHeight="1">
      <c r="H549" s="2"/>
      <c r="K549" s="2"/>
      <c r="P549" s="3"/>
      <c r="Q549" s="3"/>
      <c r="T549" s="3"/>
    </row>
    <row r="550" spans="8:20" ht="14.25" customHeight="1">
      <c r="H550" s="2"/>
      <c r="K550" s="2"/>
      <c r="P550" s="3"/>
      <c r="Q550" s="3"/>
      <c r="T550" s="3"/>
    </row>
    <row r="551" spans="8:20" ht="14.25" customHeight="1">
      <c r="H551" s="2"/>
      <c r="K551" s="2"/>
      <c r="P551" s="3"/>
      <c r="Q551" s="3"/>
      <c r="T551" s="3"/>
    </row>
    <row r="552" spans="8:20" ht="14.25" customHeight="1">
      <c r="H552" s="2"/>
      <c r="K552" s="2"/>
      <c r="P552" s="3"/>
      <c r="Q552" s="3"/>
      <c r="T552" s="3"/>
    </row>
    <row r="553" spans="8:20" ht="14.25" customHeight="1">
      <c r="H553" s="2"/>
      <c r="K553" s="2"/>
      <c r="P553" s="3"/>
      <c r="Q553" s="3"/>
      <c r="T553" s="3"/>
    </row>
    <row r="554" spans="8:20" ht="14.25" customHeight="1">
      <c r="H554" s="2"/>
      <c r="K554" s="2"/>
      <c r="P554" s="3"/>
      <c r="Q554" s="3"/>
      <c r="T554" s="3"/>
    </row>
    <row r="555" spans="8:20" ht="14.25" customHeight="1">
      <c r="H555" s="2"/>
      <c r="K555" s="2"/>
      <c r="P555" s="3"/>
      <c r="Q555" s="3"/>
      <c r="T555" s="3"/>
    </row>
    <row r="556" spans="8:20" ht="14.25" customHeight="1">
      <c r="H556" s="2"/>
      <c r="K556" s="2"/>
      <c r="P556" s="3"/>
      <c r="Q556" s="3"/>
      <c r="T556" s="3"/>
    </row>
    <row r="557" spans="8:20" ht="14.25" customHeight="1">
      <c r="H557" s="2"/>
      <c r="K557" s="2"/>
      <c r="P557" s="3"/>
      <c r="Q557" s="3"/>
      <c r="T557" s="3"/>
    </row>
    <row r="558" spans="8:20" ht="14.25" customHeight="1">
      <c r="H558" s="2"/>
      <c r="K558" s="2"/>
      <c r="P558" s="3"/>
      <c r="Q558" s="3"/>
      <c r="T558" s="3"/>
    </row>
    <row r="559" spans="8:20" ht="14.25" customHeight="1">
      <c r="H559" s="2"/>
      <c r="K559" s="2"/>
      <c r="P559" s="3"/>
      <c r="Q559" s="3"/>
      <c r="T559" s="3"/>
    </row>
    <row r="560" spans="8:20" ht="14.25" customHeight="1">
      <c r="H560" s="2"/>
      <c r="K560" s="2"/>
      <c r="P560" s="3"/>
      <c r="Q560" s="3"/>
      <c r="T560" s="3"/>
    </row>
    <row r="561" spans="8:20" ht="14.25" customHeight="1">
      <c r="H561" s="2"/>
      <c r="K561" s="2"/>
      <c r="P561" s="3"/>
      <c r="Q561" s="3"/>
      <c r="T561" s="3"/>
    </row>
    <row r="562" spans="8:20" ht="14.25" customHeight="1">
      <c r="H562" s="2"/>
      <c r="K562" s="2"/>
      <c r="P562" s="3"/>
      <c r="Q562" s="3"/>
      <c r="T562" s="3"/>
    </row>
    <row r="563" spans="8:20" ht="14.25" customHeight="1">
      <c r="H563" s="2"/>
      <c r="K563" s="2"/>
      <c r="P563" s="3"/>
      <c r="Q563" s="3"/>
      <c r="T563" s="3"/>
    </row>
    <row r="564" spans="8:20" ht="14.25" customHeight="1">
      <c r="H564" s="2"/>
      <c r="K564" s="2"/>
      <c r="P564" s="3"/>
      <c r="Q564" s="3"/>
      <c r="T564" s="3"/>
    </row>
    <row r="565" spans="8:20" ht="14.25" customHeight="1">
      <c r="H565" s="2"/>
      <c r="K565" s="2"/>
      <c r="P565" s="3"/>
      <c r="Q565" s="3"/>
      <c r="T565" s="3"/>
    </row>
    <row r="566" spans="8:20" ht="14.25" customHeight="1">
      <c r="H566" s="2"/>
      <c r="K566" s="2"/>
      <c r="P566" s="3"/>
      <c r="Q566" s="3"/>
      <c r="T566" s="3"/>
    </row>
    <row r="567" spans="8:20" ht="14.25" customHeight="1">
      <c r="H567" s="2"/>
      <c r="K567" s="2"/>
      <c r="P567" s="3"/>
      <c r="Q567" s="3"/>
      <c r="T567" s="3"/>
    </row>
    <row r="568" spans="8:20" ht="14.25" customHeight="1">
      <c r="H568" s="2"/>
      <c r="K568" s="2"/>
      <c r="P568" s="3"/>
      <c r="Q568" s="3"/>
      <c r="T568" s="3"/>
    </row>
    <row r="569" spans="8:20" ht="14.25" customHeight="1">
      <c r="H569" s="2"/>
      <c r="K569" s="2"/>
      <c r="P569" s="3"/>
      <c r="Q569" s="3"/>
      <c r="T569" s="3"/>
    </row>
    <row r="570" spans="8:20" ht="14.25" customHeight="1">
      <c r="H570" s="2"/>
      <c r="K570" s="2"/>
      <c r="P570" s="3"/>
      <c r="Q570" s="3"/>
      <c r="T570" s="3"/>
    </row>
    <row r="571" spans="8:20" ht="14.25" customHeight="1">
      <c r="H571" s="2"/>
      <c r="K571" s="2"/>
      <c r="P571" s="3"/>
      <c r="Q571" s="3"/>
      <c r="T571" s="3"/>
    </row>
    <row r="572" spans="8:20" ht="14.25" customHeight="1">
      <c r="H572" s="2"/>
      <c r="K572" s="2"/>
      <c r="P572" s="3"/>
      <c r="Q572" s="3"/>
      <c r="T572" s="3"/>
    </row>
    <row r="573" spans="8:20" ht="14.25" customHeight="1">
      <c r="H573" s="2"/>
      <c r="K573" s="2"/>
      <c r="P573" s="3"/>
      <c r="Q573" s="3"/>
      <c r="T573" s="3"/>
    </row>
    <row r="574" spans="8:20" ht="14.25" customHeight="1">
      <c r="H574" s="2"/>
      <c r="K574" s="2"/>
      <c r="P574" s="3"/>
      <c r="Q574" s="3"/>
      <c r="T574" s="3"/>
    </row>
    <row r="575" spans="8:20" ht="14.25" customHeight="1">
      <c r="H575" s="2"/>
      <c r="K575" s="2"/>
      <c r="P575" s="3"/>
      <c r="Q575" s="3"/>
      <c r="T575" s="3"/>
    </row>
    <row r="576" spans="8:20" ht="14.25" customHeight="1">
      <c r="H576" s="2"/>
      <c r="K576" s="2"/>
      <c r="P576" s="3"/>
      <c r="Q576" s="3"/>
      <c r="T576" s="3"/>
    </row>
    <row r="577" spans="8:20" ht="14.25" customHeight="1">
      <c r="H577" s="2"/>
      <c r="K577" s="2"/>
      <c r="P577" s="3"/>
      <c r="Q577" s="3"/>
      <c r="T577" s="3"/>
    </row>
    <row r="578" spans="8:20" ht="14.25" customHeight="1">
      <c r="H578" s="2"/>
      <c r="K578" s="2"/>
      <c r="P578" s="3"/>
      <c r="Q578" s="3"/>
      <c r="T578" s="3"/>
    </row>
    <row r="579" spans="8:20" ht="14.25" customHeight="1">
      <c r="H579" s="2"/>
      <c r="K579" s="2"/>
      <c r="P579" s="3"/>
      <c r="Q579" s="3"/>
      <c r="T579" s="3"/>
    </row>
    <row r="580" spans="8:20" ht="14.25" customHeight="1">
      <c r="H580" s="2"/>
      <c r="K580" s="2"/>
      <c r="P580" s="3"/>
      <c r="Q580" s="3"/>
      <c r="T580" s="3"/>
    </row>
    <row r="581" spans="8:20" ht="14.25" customHeight="1">
      <c r="H581" s="2"/>
      <c r="K581" s="2"/>
      <c r="P581" s="3"/>
      <c r="Q581" s="3"/>
      <c r="T581" s="3"/>
    </row>
    <row r="582" spans="8:20" ht="14.25" customHeight="1">
      <c r="H582" s="2"/>
      <c r="K582" s="2"/>
      <c r="P582" s="3"/>
      <c r="Q582" s="3"/>
      <c r="T582" s="3"/>
    </row>
    <row r="583" spans="8:20" ht="14.25" customHeight="1">
      <c r="H583" s="2"/>
      <c r="K583" s="2"/>
      <c r="P583" s="3"/>
      <c r="Q583" s="3"/>
      <c r="T583" s="3"/>
    </row>
    <row r="584" spans="8:20" ht="14.25" customHeight="1">
      <c r="H584" s="2"/>
      <c r="K584" s="2"/>
      <c r="P584" s="3"/>
      <c r="Q584" s="3"/>
      <c r="T584" s="3"/>
    </row>
    <row r="585" spans="8:20" ht="14.25" customHeight="1">
      <c r="H585" s="2"/>
      <c r="K585" s="2"/>
      <c r="P585" s="3"/>
      <c r="Q585" s="3"/>
      <c r="T585" s="3"/>
    </row>
    <row r="586" spans="8:20" ht="14.25" customHeight="1">
      <c r="H586" s="2"/>
      <c r="K586" s="2"/>
      <c r="P586" s="3"/>
      <c r="Q586" s="3"/>
      <c r="T586" s="3"/>
    </row>
    <row r="587" spans="8:20" ht="14.25" customHeight="1">
      <c r="H587" s="2"/>
      <c r="K587" s="2"/>
      <c r="P587" s="3"/>
      <c r="Q587" s="3"/>
      <c r="T587" s="3"/>
    </row>
    <row r="588" spans="8:20" ht="14.25" customHeight="1">
      <c r="H588" s="2"/>
      <c r="K588" s="2"/>
      <c r="P588" s="3"/>
      <c r="Q588" s="3"/>
      <c r="T588" s="3"/>
    </row>
    <row r="589" spans="8:20" ht="14.25" customHeight="1">
      <c r="H589" s="2"/>
      <c r="K589" s="2"/>
      <c r="P589" s="3"/>
      <c r="Q589" s="3"/>
      <c r="T589" s="3"/>
    </row>
    <row r="590" spans="8:20" ht="14.25" customHeight="1">
      <c r="H590" s="2"/>
      <c r="K590" s="2"/>
      <c r="P590" s="3"/>
      <c r="Q590" s="3"/>
      <c r="T590" s="3"/>
    </row>
    <row r="591" spans="8:20" ht="14.25" customHeight="1">
      <c r="H591" s="2"/>
      <c r="K591" s="2"/>
      <c r="P591" s="3"/>
      <c r="Q591" s="3"/>
      <c r="T591" s="3"/>
    </row>
    <row r="592" spans="8:20" ht="14.25" customHeight="1">
      <c r="H592" s="2"/>
      <c r="K592" s="2"/>
      <c r="P592" s="3"/>
      <c r="Q592" s="3"/>
      <c r="T592" s="3"/>
    </row>
    <row r="593" spans="8:20" ht="14.25" customHeight="1">
      <c r="H593" s="2"/>
      <c r="K593" s="2"/>
      <c r="P593" s="3"/>
      <c r="Q593" s="3"/>
      <c r="T593" s="3"/>
    </row>
    <row r="594" spans="8:20" ht="14.25" customHeight="1">
      <c r="H594" s="2"/>
      <c r="K594" s="2"/>
      <c r="P594" s="3"/>
      <c r="Q594" s="3"/>
      <c r="T594" s="3"/>
    </row>
    <row r="595" spans="8:20" ht="14.25" customHeight="1">
      <c r="H595" s="2"/>
      <c r="K595" s="2"/>
      <c r="P595" s="3"/>
      <c r="Q595" s="3"/>
      <c r="T595" s="3"/>
    </row>
    <row r="596" spans="8:20" ht="14.25" customHeight="1">
      <c r="H596" s="2"/>
      <c r="K596" s="2"/>
      <c r="P596" s="3"/>
      <c r="Q596" s="3"/>
      <c r="T596" s="3"/>
    </row>
    <row r="597" spans="8:20" ht="14.25" customHeight="1">
      <c r="H597" s="2"/>
      <c r="K597" s="2"/>
      <c r="P597" s="3"/>
      <c r="Q597" s="3"/>
      <c r="T597" s="3"/>
    </row>
    <row r="598" spans="8:20" ht="14.25" customHeight="1">
      <c r="H598" s="2"/>
      <c r="K598" s="2"/>
      <c r="P598" s="3"/>
      <c r="Q598" s="3"/>
      <c r="T598" s="3"/>
    </row>
    <row r="599" spans="8:20" ht="14.25" customHeight="1">
      <c r="H599" s="2"/>
      <c r="K599" s="2"/>
      <c r="P599" s="3"/>
      <c r="Q599" s="3"/>
      <c r="T599" s="3"/>
    </row>
    <row r="600" spans="8:20" ht="14.25" customHeight="1">
      <c r="H600" s="2"/>
      <c r="K600" s="2"/>
      <c r="P600" s="3"/>
      <c r="Q600" s="3"/>
      <c r="T600" s="3"/>
    </row>
    <row r="601" spans="8:20" ht="14.25" customHeight="1">
      <c r="H601" s="2"/>
      <c r="K601" s="2"/>
      <c r="P601" s="3"/>
      <c r="Q601" s="3"/>
      <c r="T601" s="3"/>
    </row>
    <row r="602" spans="8:20" ht="14.25" customHeight="1">
      <c r="H602" s="2"/>
      <c r="K602" s="2"/>
      <c r="P602" s="3"/>
      <c r="Q602" s="3"/>
      <c r="T602" s="3"/>
    </row>
    <row r="603" spans="8:20" ht="14.25" customHeight="1">
      <c r="H603" s="2"/>
      <c r="K603" s="2"/>
      <c r="P603" s="3"/>
      <c r="Q603" s="3"/>
      <c r="T603" s="3"/>
    </row>
    <row r="604" spans="8:20" ht="14.25" customHeight="1">
      <c r="H604" s="2"/>
      <c r="K604" s="2"/>
      <c r="P604" s="3"/>
      <c r="Q604" s="3"/>
      <c r="T604" s="3"/>
    </row>
    <row r="605" spans="8:20" ht="14.25" customHeight="1">
      <c r="H605" s="2"/>
      <c r="K605" s="2"/>
      <c r="P605" s="3"/>
      <c r="Q605" s="3"/>
      <c r="T605" s="3"/>
    </row>
    <row r="606" spans="8:20" ht="14.25" customHeight="1">
      <c r="H606" s="2"/>
      <c r="K606" s="2"/>
      <c r="P606" s="3"/>
      <c r="Q606" s="3"/>
      <c r="T606" s="3"/>
    </row>
    <row r="607" spans="8:20" ht="14.25" customHeight="1">
      <c r="H607" s="2"/>
      <c r="K607" s="2"/>
      <c r="P607" s="3"/>
      <c r="Q607" s="3"/>
      <c r="T607" s="3"/>
    </row>
    <row r="608" spans="8:20" ht="14.25" customHeight="1">
      <c r="H608" s="2"/>
      <c r="K608" s="2"/>
      <c r="P608" s="3"/>
      <c r="Q608" s="3"/>
      <c r="T608" s="3"/>
    </row>
    <row r="609" spans="8:20" ht="14.25" customHeight="1">
      <c r="H609" s="2"/>
      <c r="K609" s="2"/>
      <c r="P609" s="3"/>
      <c r="Q609" s="3"/>
      <c r="T609" s="3"/>
    </row>
    <row r="610" spans="8:20" ht="14.25" customHeight="1">
      <c r="H610" s="2"/>
      <c r="K610" s="2"/>
      <c r="P610" s="3"/>
      <c r="Q610" s="3"/>
      <c r="T610" s="3"/>
    </row>
    <row r="611" spans="8:20" ht="14.25" customHeight="1">
      <c r="H611" s="2"/>
      <c r="K611" s="2"/>
      <c r="P611" s="3"/>
      <c r="Q611" s="3"/>
      <c r="T611" s="3"/>
    </row>
    <row r="612" spans="8:20" ht="14.25" customHeight="1">
      <c r="H612" s="2"/>
      <c r="K612" s="2"/>
      <c r="P612" s="3"/>
      <c r="Q612" s="3"/>
      <c r="T612" s="3"/>
    </row>
    <row r="613" spans="8:20" ht="14.25" customHeight="1">
      <c r="H613" s="2"/>
      <c r="K613" s="2"/>
      <c r="P613" s="3"/>
      <c r="Q613" s="3"/>
      <c r="T613" s="3"/>
    </row>
    <row r="614" spans="8:20" ht="14.25" customHeight="1">
      <c r="H614" s="2"/>
      <c r="K614" s="2"/>
      <c r="P614" s="3"/>
      <c r="Q614" s="3"/>
      <c r="T614" s="3"/>
    </row>
    <row r="615" spans="8:20" ht="14.25" customHeight="1">
      <c r="H615" s="2"/>
      <c r="K615" s="2"/>
      <c r="P615" s="3"/>
      <c r="Q615" s="3"/>
      <c r="T615" s="3"/>
    </row>
    <row r="616" spans="8:20" ht="14.25" customHeight="1">
      <c r="H616" s="2"/>
      <c r="K616" s="2"/>
      <c r="P616" s="3"/>
      <c r="Q616" s="3"/>
      <c r="T616" s="3"/>
    </row>
    <row r="617" spans="8:20" ht="14.25" customHeight="1">
      <c r="H617" s="2"/>
      <c r="K617" s="2"/>
      <c r="P617" s="3"/>
      <c r="Q617" s="3"/>
      <c r="T617" s="3"/>
    </row>
    <row r="618" spans="8:20" ht="14.25" customHeight="1">
      <c r="H618" s="2"/>
      <c r="K618" s="2"/>
      <c r="P618" s="3"/>
      <c r="Q618" s="3"/>
      <c r="T618" s="3"/>
    </row>
    <row r="619" spans="8:20" ht="14.25" customHeight="1">
      <c r="H619" s="2"/>
      <c r="K619" s="2"/>
      <c r="P619" s="3"/>
      <c r="Q619" s="3"/>
      <c r="T619" s="3"/>
    </row>
    <row r="620" spans="8:20" ht="14.25" customHeight="1">
      <c r="H620" s="2"/>
      <c r="K620" s="2"/>
      <c r="P620" s="3"/>
      <c r="Q620" s="3"/>
      <c r="T620" s="3"/>
    </row>
    <row r="621" spans="8:20" ht="14.25" customHeight="1">
      <c r="H621" s="2"/>
      <c r="K621" s="2"/>
      <c r="P621" s="3"/>
      <c r="Q621" s="3"/>
      <c r="T621" s="3"/>
    </row>
    <row r="622" spans="8:20" ht="14.25" customHeight="1">
      <c r="H622" s="2"/>
      <c r="K622" s="2"/>
      <c r="P622" s="3"/>
      <c r="Q622" s="3"/>
      <c r="T622" s="3"/>
    </row>
    <row r="623" spans="8:20" ht="14.25" customHeight="1">
      <c r="H623" s="2"/>
      <c r="K623" s="2"/>
      <c r="P623" s="3"/>
      <c r="Q623" s="3"/>
      <c r="T623" s="3"/>
    </row>
    <row r="624" spans="8:20" ht="14.25" customHeight="1">
      <c r="H624" s="2"/>
      <c r="K624" s="2"/>
      <c r="P624" s="3"/>
      <c r="Q624" s="3"/>
      <c r="T624" s="3"/>
    </row>
    <row r="625" spans="8:20" ht="14.25" customHeight="1">
      <c r="H625" s="2"/>
      <c r="K625" s="2"/>
      <c r="P625" s="3"/>
      <c r="Q625" s="3"/>
      <c r="T625" s="3"/>
    </row>
    <row r="626" spans="8:20" ht="14.25" customHeight="1">
      <c r="H626" s="2"/>
      <c r="K626" s="2"/>
      <c r="P626" s="3"/>
      <c r="Q626" s="3"/>
      <c r="T626" s="3"/>
    </row>
    <row r="627" spans="8:20" ht="14.25" customHeight="1">
      <c r="H627" s="2"/>
      <c r="K627" s="2"/>
      <c r="P627" s="3"/>
      <c r="Q627" s="3"/>
      <c r="T627" s="3"/>
    </row>
    <row r="628" spans="8:20" ht="14.25" customHeight="1">
      <c r="H628" s="2"/>
      <c r="K628" s="2"/>
      <c r="P628" s="3"/>
      <c r="Q628" s="3"/>
      <c r="T628" s="3"/>
    </row>
    <row r="629" spans="8:20" ht="14.25" customHeight="1">
      <c r="H629" s="2"/>
      <c r="K629" s="2"/>
      <c r="P629" s="3"/>
      <c r="Q629" s="3"/>
      <c r="T629" s="3"/>
    </row>
    <row r="630" spans="8:20" ht="14.25" customHeight="1">
      <c r="H630" s="2"/>
      <c r="K630" s="2"/>
      <c r="P630" s="3"/>
      <c r="Q630" s="3"/>
      <c r="T630" s="3"/>
    </row>
    <row r="631" spans="8:20" ht="14.25" customHeight="1">
      <c r="H631" s="2"/>
      <c r="K631" s="2"/>
      <c r="P631" s="3"/>
      <c r="Q631" s="3"/>
      <c r="T631" s="3"/>
    </row>
    <row r="632" spans="8:20" ht="14.25" customHeight="1">
      <c r="H632" s="2"/>
      <c r="K632" s="2"/>
      <c r="P632" s="3"/>
      <c r="Q632" s="3"/>
      <c r="T632" s="3"/>
    </row>
    <row r="633" spans="8:20" ht="14.25" customHeight="1">
      <c r="H633" s="2"/>
      <c r="K633" s="2"/>
      <c r="P633" s="3"/>
      <c r="Q633" s="3"/>
      <c r="T633" s="3"/>
    </row>
    <row r="634" spans="8:20" ht="14.25" customHeight="1">
      <c r="H634" s="2"/>
      <c r="K634" s="2"/>
      <c r="P634" s="3"/>
      <c r="Q634" s="3"/>
      <c r="T634" s="3"/>
    </row>
    <row r="635" spans="8:20" ht="14.25" customHeight="1">
      <c r="H635" s="2"/>
      <c r="K635" s="2"/>
      <c r="P635" s="3"/>
      <c r="Q635" s="3"/>
      <c r="T635" s="3"/>
    </row>
    <row r="636" spans="8:20" ht="14.25" customHeight="1">
      <c r="H636" s="2"/>
      <c r="K636" s="2"/>
      <c r="P636" s="3"/>
      <c r="Q636" s="3"/>
      <c r="T636" s="3"/>
    </row>
    <row r="637" spans="8:20" ht="14.25" customHeight="1">
      <c r="H637" s="2"/>
      <c r="K637" s="2"/>
      <c r="P637" s="3"/>
      <c r="Q637" s="3"/>
      <c r="T637" s="3"/>
    </row>
    <row r="638" spans="8:20" ht="14.25" customHeight="1">
      <c r="H638" s="2"/>
      <c r="K638" s="2"/>
      <c r="P638" s="3"/>
      <c r="Q638" s="3"/>
      <c r="T638" s="3"/>
    </row>
    <row r="639" spans="8:20" ht="14.25" customHeight="1">
      <c r="H639" s="2"/>
      <c r="K639" s="2"/>
      <c r="P639" s="3"/>
      <c r="Q639" s="3"/>
      <c r="T639" s="3"/>
    </row>
    <row r="640" spans="8:20" ht="14.25" customHeight="1">
      <c r="H640" s="2"/>
      <c r="K640" s="2"/>
      <c r="P640" s="3"/>
      <c r="Q640" s="3"/>
      <c r="T640" s="3"/>
    </row>
    <row r="641" spans="8:20" ht="14.25" customHeight="1">
      <c r="H641" s="2"/>
      <c r="K641" s="2"/>
      <c r="P641" s="3"/>
      <c r="Q641" s="3"/>
      <c r="T641" s="3"/>
    </row>
    <row r="642" spans="8:20" ht="14.25" customHeight="1">
      <c r="H642" s="2"/>
      <c r="K642" s="2"/>
      <c r="P642" s="3"/>
      <c r="Q642" s="3"/>
      <c r="T642" s="3"/>
    </row>
    <row r="643" spans="8:20" ht="14.25" customHeight="1">
      <c r="H643" s="2"/>
      <c r="K643" s="2"/>
      <c r="P643" s="3"/>
      <c r="Q643" s="3"/>
      <c r="T643" s="3"/>
    </row>
    <row r="644" spans="8:20" ht="14.25" customHeight="1">
      <c r="H644" s="2"/>
      <c r="K644" s="2"/>
      <c r="P644" s="3"/>
      <c r="Q644" s="3"/>
      <c r="T644" s="3"/>
    </row>
    <row r="645" spans="8:20" ht="14.25" customHeight="1">
      <c r="H645" s="2"/>
      <c r="K645" s="2"/>
      <c r="P645" s="3"/>
      <c r="Q645" s="3"/>
      <c r="T645" s="3"/>
    </row>
    <row r="646" spans="8:20" ht="14.25" customHeight="1">
      <c r="H646" s="2"/>
      <c r="K646" s="2"/>
      <c r="P646" s="3"/>
      <c r="Q646" s="3"/>
      <c r="T646" s="3"/>
    </row>
    <row r="647" spans="8:20" ht="14.25" customHeight="1">
      <c r="H647" s="2"/>
      <c r="K647" s="2"/>
      <c r="P647" s="3"/>
      <c r="Q647" s="3"/>
      <c r="T647" s="3"/>
    </row>
    <row r="648" spans="8:20" ht="14.25" customHeight="1">
      <c r="H648" s="2"/>
      <c r="K648" s="2"/>
      <c r="P648" s="3"/>
      <c r="Q648" s="3"/>
      <c r="T648" s="3"/>
    </row>
    <row r="649" spans="8:20" ht="14.25" customHeight="1">
      <c r="H649" s="2"/>
      <c r="K649" s="2"/>
      <c r="P649" s="3"/>
      <c r="Q649" s="3"/>
      <c r="T649" s="3"/>
    </row>
    <row r="650" spans="8:20" ht="14.25" customHeight="1">
      <c r="H650" s="2"/>
      <c r="K650" s="2"/>
      <c r="P650" s="3"/>
      <c r="Q650" s="3"/>
      <c r="T650" s="3"/>
    </row>
    <row r="651" spans="8:20" ht="14.25" customHeight="1">
      <c r="H651" s="2"/>
      <c r="K651" s="2"/>
      <c r="P651" s="3"/>
      <c r="Q651" s="3"/>
      <c r="T651" s="3"/>
    </row>
    <row r="652" spans="8:20" ht="14.25" customHeight="1">
      <c r="H652" s="2"/>
      <c r="K652" s="2"/>
      <c r="P652" s="3"/>
      <c r="Q652" s="3"/>
      <c r="T652" s="3"/>
    </row>
    <row r="653" spans="8:20" ht="14.25" customHeight="1">
      <c r="H653" s="2"/>
      <c r="K653" s="2"/>
      <c r="P653" s="3"/>
      <c r="Q653" s="3"/>
      <c r="T653" s="3"/>
    </row>
    <row r="654" spans="8:20" ht="14.25" customHeight="1">
      <c r="H654" s="2"/>
      <c r="K654" s="2"/>
      <c r="P654" s="3"/>
      <c r="Q654" s="3"/>
      <c r="T654" s="3"/>
    </row>
    <row r="655" spans="8:20" ht="14.25" customHeight="1">
      <c r="H655" s="2"/>
      <c r="K655" s="2"/>
      <c r="P655" s="3"/>
      <c r="Q655" s="3"/>
      <c r="T655" s="3"/>
    </row>
    <row r="656" spans="8:20" ht="14.25" customHeight="1">
      <c r="H656" s="2"/>
      <c r="K656" s="2"/>
      <c r="P656" s="3"/>
      <c r="Q656" s="3"/>
      <c r="T656" s="3"/>
    </row>
    <row r="657" spans="8:20" ht="14.25" customHeight="1">
      <c r="H657" s="2"/>
      <c r="K657" s="2"/>
      <c r="P657" s="3"/>
      <c r="Q657" s="3"/>
      <c r="T657" s="3"/>
    </row>
    <row r="658" spans="8:20" ht="14.25" customHeight="1">
      <c r="H658" s="2"/>
      <c r="K658" s="2"/>
      <c r="P658" s="3"/>
      <c r="Q658" s="3"/>
      <c r="T658" s="3"/>
    </row>
    <row r="659" spans="8:20" ht="14.25" customHeight="1">
      <c r="H659" s="2"/>
      <c r="K659" s="2"/>
      <c r="P659" s="3"/>
      <c r="Q659" s="3"/>
      <c r="T659" s="3"/>
    </row>
    <row r="660" spans="8:20" ht="14.25" customHeight="1">
      <c r="H660" s="2"/>
      <c r="K660" s="2"/>
      <c r="P660" s="3"/>
      <c r="Q660" s="3"/>
      <c r="T660" s="3"/>
    </row>
    <row r="661" spans="8:20" ht="14.25" customHeight="1">
      <c r="H661" s="2"/>
      <c r="K661" s="2"/>
      <c r="P661" s="3"/>
      <c r="Q661" s="3"/>
      <c r="T661" s="3"/>
    </row>
    <row r="662" spans="8:20" ht="14.25" customHeight="1">
      <c r="H662" s="2"/>
      <c r="K662" s="2"/>
      <c r="P662" s="3"/>
      <c r="Q662" s="3"/>
      <c r="T662" s="3"/>
    </row>
    <row r="663" spans="8:20" ht="14.25" customHeight="1">
      <c r="H663" s="2"/>
      <c r="K663" s="2"/>
      <c r="P663" s="3"/>
      <c r="Q663" s="3"/>
      <c r="T663" s="3"/>
    </row>
    <row r="664" spans="8:20" ht="14.25" customHeight="1">
      <c r="H664" s="2"/>
      <c r="K664" s="2"/>
      <c r="P664" s="3"/>
      <c r="Q664" s="3"/>
      <c r="T664" s="3"/>
    </row>
    <row r="665" spans="8:20" ht="14.25" customHeight="1">
      <c r="H665" s="2"/>
      <c r="K665" s="2"/>
      <c r="P665" s="3"/>
      <c r="Q665" s="3"/>
      <c r="T665" s="3"/>
    </row>
    <row r="666" spans="8:20" ht="14.25" customHeight="1">
      <c r="H666" s="2"/>
      <c r="K666" s="2"/>
      <c r="P666" s="3"/>
      <c r="Q666" s="3"/>
      <c r="T666" s="3"/>
    </row>
    <row r="667" spans="8:20" ht="14.25" customHeight="1">
      <c r="H667" s="2"/>
      <c r="K667" s="2"/>
      <c r="P667" s="3"/>
      <c r="Q667" s="3"/>
      <c r="T667" s="3"/>
    </row>
    <row r="668" spans="8:20" ht="14.25" customHeight="1">
      <c r="H668" s="2"/>
      <c r="K668" s="2"/>
      <c r="P668" s="3"/>
      <c r="Q668" s="3"/>
      <c r="T668" s="3"/>
    </row>
    <row r="669" spans="8:20" ht="14.25" customHeight="1">
      <c r="H669" s="2"/>
      <c r="K669" s="2"/>
      <c r="P669" s="3"/>
      <c r="Q669" s="3"/>
      <c r="T669" s="3"/>
    </row>
    <row r="670" spans="8:20" ht="14.25" customHeight="1">
      <c r="H670" s="2"/>
      <c r="K670" s="2"/>
      <c r="P670" s="3"/>
      <c r="Q670" s="3"/>
      <c r="T670" s="3"/>
    </row>
    <row r="671" spans="8:20" ht="14.25" customHeight="1">
      <c r="H671" s="2"/>
      <c r="K671" s="2"/>
      <c r="P671" s="3"/>
      <c r="Q671" s="3"/>
      <c r="T671" s="3"/>
    </row>
    <row r="672" spans="8:20" ht="14.25" customHeight="1">
      <c r="H672" s="2"/>
      <c r="K672" s="2"/>
      <c r="P672" s="3"/>
      <c r="Q672" s="3"/>
      <c r="T672" s="3"/>
    </row>
    <row r="673" spans="8:20" ht="14.25" customHeight="1">
      <c r="H673" s="2"/>
      <c r="K673" s="2"/>
      <c r="P673" s="3"/>
      <c r="Q673" s="3"/>
      <c r="T673" s="3"/>
    </row>
    <row r="674" spans="8:20" ht="14.25" customHeight="1">
      <c r="H674" s="2"/>
      <c r="K674" s="2"/>
      <c r="P674" s="3"/>
      <c r="Q674" s="3"/>
      <c r="T674" s="3"/>
    </row>
    <row r="675" spans="8:20" ht="14.25" customHeight="1">
      <c r="H675" s="2"/>
      <c r="K675" s="2"/>
      <c r="P675" s="3"/>
      <c r="Q675" s="3"/>
      <c r="T675" s="3"/>
    </row>
    <row r="676" spans="8:20" ht="14.25" customHeight="1">
      <c r="H676" s="2"/>
      <c r="K676" s="2"/>
      <c r="P676" s="3"/>
      <c r="Q676" s="3"/>
      <c r="T676" s="3"/>
    </row>
    <row r="677" spans="8:20" ht="14.25" customHeight="1">
      <c r="H677" s="2"/>
      <c r="K677" s="2"/>
      <c r="P677" s="3"/>
      <c r="Q677" s="3"/>
      <c r="T677" s="3"/>
    </row>
    <row r="678" spans="8:20" ht="14.25" customHeight="1">
      <c r="H678" s="2"/>
      <c r="K678" s="2"/>
      <c r="P678" s="3"/>
      <c r="Q678" s="3"/>
      <c r="T678" s="3"/>
    </row>
    <row r="679" spans="8:20" ht="14.25" customHeight="1">
      <c r="H679" s="2"/>
      <c r="K679" s="2"/>
      <c r="P679" s="3"/>
      <c r="Q679" s="3"/>
      <c r="T679" s="3"/>
    </row>
    <row r="680" spans="8:20" ht="14.25" customHeight="1">
      <c r="H680" s="2"/>
      <c r="K680" s="2"/>
      <c r="P680" s="3"/>
      <c r="Q680" s="3"/>
      <c r="T680" s="3"/>
    </row>
    <row r="681" spans="8:20" ht="14.25" customHeight="1">
      <c r="H681" s="2"/>
      <c r="K681" s="2"/>
      <c r="P681" s="3"/>
      <c r="Q681" s="3"/>
      <c r="T681" s="3"/>
    </row>
    <row r="682" spans="8:20" ht="14.25" customHeight="1">
      <c r="H682" s="2"/>
      <c r="K682" s="2"/>
      <c r="P682" s="3"/>
      <c r="Q682" s="3"/>
      <c r="T682" s="3"/>
    </row>
    <row r="683" spans="8:20" ht="14.25" customHeight="1">
      <c r="H683" s="2"/>
      <c r="K683" s="2"/>
      <c r="P683" s="3"/>
      <c r="Q683" s="3"/>
      <c r="T683" s="3"/>
    </row>
    <row r="684" spans="8:20" ht="14.25" customHeight="1">
      <c r="H684" s="2"/>
      <c r="K684" s="2"/>
      <c r="P684" s="3"/>
      <c r="Q684" s="3"/>
      <c r="T684" s="3"/>
    </row>
    <row r="685" spans="8:20" ht="14.25" customHeight="1">
      <c r="H685" s="2"/>
      <c r="K685" s="2"/>
      <c r="P685" s="3"/>
      <c r="Q685" s="3"/>
      <c r="T685" s="3"/>
    </row>
    <row r="686" spans="8:20" ht="14.25" customHeight="1">
      <c r="H686" s="2"/>
      <c r="K686" s="2"/>
      <c r="P686" s="3"/>
      <c r="Q686" s="3"/>
      <c r="T686" s="3"/>
    </row>
    <row r="687" spans="8:20" ht="14.25" customHeight="1">
      <c r="H687" s="2"/>
      <c r="K687" s="2"/>
      <c r="P687" s="3"/>
      <c r="Q687" s="3"/>
      <c r="T687" s="3"/>
    </row>
    <row r="688" spans="8:20" ht="14.25" customHeight="1">
      <c r="H688" s="2"/>
      <c r="K688" s="2"/>
      <c r="P688" s="3"/>
      <c r="Q688" s="3"/>
      <c r="T688" s="3"/>
    </row>
    <row r="689" spans="8:20" ht="14.25" customHeight="1">
      <c r="H689" s="2"/>
      <c r="K689" s="2"/>
      <c r="P689" s="3"/>
      <c r="Q689" s="3"/>
      <c r="T689" s="3"/>
    </row>
    <row r="690" spans="8:20" ht="14.25" customHeight="1">
      <c r="H690" s="2"/>
      <c r="K690" s="2"/>
      <c r="P690" s="3"/>
      <c r="Q690" s="3"/>
      <c r="T690" s="3"/>
    </row>
    <row r="691" spans="8:20" ht="14.25" customHeight="1">
      <c r="H691" s="2"/>
      <c r="K691" s="2"/>
      <c r="P691" s="3"/>
      <c r="Q691" s="3"/>
      <c r="T691" s="3"/>
    </row>
    <row r="692" spans="8:20" ht="14.25" customHeight="1">
      <c r="H692" s="2"/>
      <c r="K692" s="2"/>
      <c r="P692" s="3"/>
      <c r="Q692" s="3"/>
      <c r="T692" s="3"/>
    </row>
    <row r="693" spans="8:20" ht="14.25" customHeight="1">
      <c r="H693" s="2"/>
      <c r="K693" s="2"/>
      <c r="P693" s="3"/>
      <c r="Q693" s="3"/>
      <c r="T693" s="3"/>
    </row>
    <row r="694" spans="8:20" ht="14.25" customHeight="1">
      <c r="H694" s="2"/>
      <c r="K694" s="2"/>
      <c r="P694" s="3"/>
      <c r="Q694" s="3"/>
      <c r="T694" s="3"/>
    </row>
    <row r="695" spans="8:20" ht="14.25" customHeight="1">
      <c r="H695" s="2"/>
      <c r="K695" s="2"/>
      <c r="P695" s="3"/>
      <c r="Q695" s="3"/>
      <c r="T695" s="3"/>
    </row>
    <row r="696" spans="8:20" ht="14.25" customHeight="1">
      <c r="H696" s="2"/>
      <c r="K696" s="2"/>
      <c r="P696" s="3"/>
      <c r="Q696" s="3"/>
      <c r="T696" s="3"/>
    </row>
    <row r="697" spans="8:20" ht="14.25" customHeight="1">
      <c r="H697" s="2"/>
      <c r="K697" s="2"/>
      <c r="P697" s="3"/>
      <c r="Q697" s="3"/>
      <c r="T697" s="3"/>
    </row>
    <row r="698" spans="8:20" ht="14.25" customHeight="1">
      <c r="H698" s="2"/>
      <c r="K698" s="2"/>
      <c r="P698" s="3"/>
      <c r="Q698" s="3"/>
      <c r="T698" s="3"/>
    </row>
    <row r="699" spans="8:20" ht="14.25" customHeight="1">
      <c r="H699" s="2"/>
      <c r="K699" s="2"/>
      <c r="P699" s="3"/>
      <c r="Q699" s="3"/>
      <c r="T699" s="3"/>
    </row>
    <row r="700" spans="8:20" ht="14.25" customHeight="1">
      <c r="H700" s="2"/>
      <c r="K700" s="2"/>
      <c r="P700" s="3"/>
      <c r="Q700" s="3"/>
      <c r="T700" s="3"/>
    </row>
    <row r="701" spans="8:20" ht="14.25" customHeight="1">
      <c r="H701" s="2"/>
      <c r="K701" s="2"/>
      <c r="P701" s="3"/>
      <c r="Q701" s="3"/>
      <c r="T701" s="3"/>
    </row>
    <row r="702" spans="8:20" ht="14.25" customHeight="1">
      <c r="H702" s="2"/>
      <c r="K702" s="2"/>
      <c r="P702" s="3"/>
      <c r="Q702" s="3"/>
      <c r="T702" s="3"/>
    </row>
    <row r="703" spans="8:20" ht="14.25" customHeight="1">
      <c r="H703" s="2"/>
      <c r="K703" s="2"/>
      <c r="P703" s="3"/>
      <c r="Q703" s="3"/>
      <c r="T703" s="3"/>
    </row>
    <row r="704" spans="8:20" ht="14.25" customHeight="1">
      <c r="H704" s="2"/>
      <c r="K704" s="2"/>
      <c r="P704" s="3"/>
      <c r="Q704" s="3"/>
      <c r="T704" s="3"/>
    </row>
    <row r="705" spans="8:20" ht="14.25" customHeight="1">
      <c r="H705" s="2"/>
      <c r="K705" s="2"/>
      <c r="P705" s="3"/>
      <c r="Q705" s="3"/>
      <c r="T705" s="3"/>
    </row>
    <row r="706" spans="8:20" ht="14.25" customHeight="1">
      <c r="H706" s="2"/>
      <c r="K706" s="2"/>
      <c r="P706" s="3"/>
      <c r="Q706" s="3"/>
      <c r="T706" s="3"/>
    </row>
    <row r="707" spans="8:20" ht="14.25" customHeight="1">
      <c r="H707" s="2"/>
      <c r="K707" s="2"/>
      <c r="P707" s="3"/>
      <c r="Q707" s="3"/>
      <c r="T707" s="3"/>
    </row>
    <row r="708" spans="8:20" ht="14.25" customHeight="1">
      <c r="H708" s="2"/>
      <c r="K708" s="2"/>
      <c r="P708" s="3"/>
      <c r="Q708" s="3"/>
      <c r="T708" s="3"/>
    </row>
    <row r="709" spans="8:20" ht="14.25" customHeight="1">
      <c r="H709" s="2"/>
      <c r="K709" s="2"/>
      <c r="P709" s="3"/>
      <c r="Q709" s="3"/>
      <c r="T709" s="3"/>
    </row>
    <row r="710" spans="8:20" ht="14.25" customHeight="1">
      <c r="H710" s="2"/>
      <c r="K710" s="2"/>
      <c r="P710" s="3"/>
      <c r="Q710" s="3"/>
      <c r="T710" s="3"/>
    </row>
    <row r="711" spans="8:20" ht="14.25" customHeight="1">
      <c r="H711" s="2"/>
      <c r="K711" s="2"/>
      <c r="P711" s="3"/>
      <c r="Q711" s="3"/>
      <c r="T711" s="3"/>
    </row>
    <row r="712" spans="8:20" ht="14.25" customHeight="1">
      <c r="H712" s="2"/>
      <c r="K712" s="2"/>
      <c r="P712" s="3"/>
      <c r="Q712" s="3"/>
      <c r="T712" s="3"/>
    </row>
    <row r="713" spans="8:20" ht="14.25" customHeight="1">
      <c r="H713" s="2"/>
      <c r="K713" s="2"/>
      <c r="P713" s="3"/>
      <c r="Q713" s="3"/>
      <c r="T713" s="3"/>
    </row>
    <row r="714" spans="8:20" ht="14.25" customHeight="1">
      <c r="H714" s="2"/>
      <c r="K714" s="2"/>
      <c r="P714" s="3"/>
      <c r="Q714" s="3"/>
      <c r="T714" s="3"/>
    </row>
    <row r="715" spans="8:20" ht="14.25" customHeight="1">
      <c r="H715" s="2"/>
      <c r="K715" s="2"/>
      <c r="P715" s="3"/>
      <c r="Q715" s="3"/>
      <c r="T715" s="3"/>
    </row>
    <row r="716" spans="8:20" ht="14.25" customHeight="1">
      <c r="H716" s="2"/>
      <c r="K716" s="2"/>
      <c r="P716" s="3"/>
      <c r="Q716" s="3"/>
      <c r="T716" s="3"/>
    </row>
    <row r="717" spans="8:20" ht="14.25" customHeight="1">
      <c r="H717" s="2"/>
      <c r="K717" s="2"/>
      <c r="P717" s="3"/>
      <c r="Q717" s="3"/>
      <c r="T717" s="3"/>
    </row>
    <row r="718" spans="8:20" ht="14.25" customHeight="1">
      <c r="H718" s="2"/>
      <c r="K718" s="2"/>
      <c r="P718" s="3"/>
      <c r="Q718" s="3"/>
      <c r="T718" s="3"/>
    </row>
    <row r="719" spans="8:20" ht="14.25" customHeight="1">
      <c r="H719" s="2"/>
      <c r="K719" s="2"/>
      <c r="P719" s="3"/>
      <c r="Q719" s="3"/>
      <c r="T719" s="3"/>
    </row>
    <row r="720" spans="8:20" ht="14.25" customHeight="1">
      <c r="H720" s="2"/>
      <c r="K720" s="2"/>
      <c r="P720" s="3"/>
      <c r="Q720" s="3"/>
      <c r="T720" s="3"/>
    </row>
    <row r="721" spans="8:20" ht="14.25" customHeight="1">
      <c r="H721" s="2"/>
      <c r="K721" s="2"/>
      <c r="P721" s="3"/>
      <c r="Q721" s="3"/>
      <c r="T721" s="3"/>
    </row>
    <row r="722" spans="8:20" ht="14.25" customHeight="1">
      <c r="H722" s="2"/>
      <c r="K722" s="2"/>
      <c r="P722" s="3"/>
      <c r="Q722" s="3"/>
      <c r="T722" s="3"/>
    </row>
    <row r="723" spans="8:20" ht="14.25" customHeight="1">
      <c r="H723" s="2"/>
      <c r="K723" s="2"/>
      <c r="P723" s="3"/>
      <c r="Q723" s="3"/>
      <c r="T723" s="3"/>
    </row>
    <row r="724" spans="8:20" ht="14.25" customHeight="1">
      <c r="H724" s="2"/>
      <c r="K724" s="2"/>
      <c r="P724" s="3"/>
      <c r="Q724" s="3"/>
      <c r="T724" s="3"/>
    </row>
    <row r="725" spans="8:20" ht="14.25" customHeight="1">
      <c r="H725" s="2"/>
      <c r="K725" s="2"/>
      <c r="P725" s="3"/>
      <c r="Q725" s="3"/>
      <c r="T725" s="3"/>
    </row>
    <row r="726" spans="8:20" ht="14.25" customHeight="1">
      <c r="H726" s="2"/>
      <c r="K726" s="2"/>
      <c r="P726" s="3"/>
      <c r="Q726" s="3"/>
      <c r="T726" s="3"/>
    </row>
    <row r="727" spans="8:20" ht="14.25" customHeight="1">
      <c r="H727" s="2"/>
      <c r="K727" s="2"/>
      <c r="P727" s="3"/>
      <c r="Q727" s="3"/>
      <c r="T727" s="3"/>
    </row>
    <row r="728" spans="8:20" ht="14.25" customHeight="1">
      <c r="H728" s="2"/>
      <c r="K728" s="2"/>
      <c r="P728" s="3"/>
      <c r="Q728" s="3"/>
      <c r="T728" s="3"/>
    </row>
    <row r="729" spans="8:20" ht="14.25" customHeight="1">
      <c r="H729" s="2"/>
      <c r="K729" s="2"/>
      <c r="P729" s="3"/>
      <c r="Q729" s="3"/>
      <c r="T729" s="3"/>
    </row>
    <row r="730" spans="8:20" ht="14.25" customHeight="1">
      <c r="H730" s="2"/>
      <c r="K730" s="2"/>
      <c r="P730" s="3"/>
      <c r="Q730" s="3"/>
      <c r="T730" s="3"/>
    </row>
    <row r="731" spans="8:20" ht="14.25" customHeight="1">
      <c r="H731" s="2"/>
      <c r="K731" s="2"/>
      <c r="P731" s="3"/>
      <c r="Q731" s="3"/>
      <c r="T731" s="3"/>
    </row>
    <row r="732" spans="8:20" ht="14.25" customHeight="1">
      <c r="H732" s="2"/>
      <c r="K732" s="2"/>
      <c r="P732" s="3"/>
      <c r="Q732" s="3"/>
      <c r="T732" s="3"/>
    </row>
    <row r="733" spans="8:20" ht="14.25" customHeight="1">
      <c r="H733" s="2"/>
      <c r="K733" s="2"/>
      <c r="P733" s="3"/>
      <c r="Q733" s="3"/>
      <c r="T733" s="3"/>
    </row>
    <row r="734" spans="8:20" ht="14.25" customHeight="1">
      <c r="H734" s="2"/>
      <c r="K734" s="2"/>
      <c r="P734" s="3"/>
      <c r="Q734" s="3"/>
      <c r="T734" s="3"/>
    </row>
    <row r="735" spans="8:20" ht="14.25" customHeight="1">
      <c r="H735" s="2"/>
      <c r="K735" s="2"/>
      <c r="P735" s="3"/>
      <c r="Q735" s="3"/>
      <c r="T735" s="3"/>
    </row>
    <row r="736" spans="8:20" ht="14.25" customHeight="1">
      <c r="H736" s="2"/>
      <c r="K736" s="2"/>
      <c r="P736" s="3"/>
      <c r="Q736" s="3"/>
      <c r="T736" s="3"/>
    </row>
    <row r="737" spans="8:20" ht="14.25" customHeight="1">
      <c r="H737" s="2"/>
      <c r="K737" s="2"/>
      <c r="P737" s="3"/>
      <c r="Q737" s="3"/>
      <c r="T737" s="3"/>
    </row>
    <row r="738" spans="8:20" ht="14.25" customHeight="1">
      <c r="H738" s="2"/>
      <c r="K738" s="2"/>
      <c r="P738" s="3"/>
      <c r="Q738" s="3"/>
      <c r="T738" s="3"/>
    </row>
    <row r="739" spans="8:20" ht="14.25" customHeight="1">
      <c r="H739" s="2"/>
      <c r="K739" s="2"/>
      <c r="P739" s="3"/>
      <c r="Q739" s="3"/>
      <c r="T739" s="3"/>
    </row>
    <row r="740" spans="8:20" ht="14.25" customHeight="1">
      <c r="H740" s="2"/>
      <c r="K740" s="2"/>
      <c r="P740" s="3"/>
      <c r="Q740" s="3"/>
      <c r="T740" s="3"/>
    </row>
    <row r="741" spans="8:20" ht="14.25" customHeight="1">
      <c r="H741" s="2"/>
      <c r="K741" s="2"/>
      <c r="P741" s="3"/>
      <c r="Q741" s="3"/>
      <c r="T741" s="3"/>
    </row>
    <row r="742" spans="8:20" ht="14.25" customHeight="1">
      <c r="H742" s="2"/>
      <c r="K742" s="2"/>
      <c r="P742" s="3"/>
      <c r="Q742" s="3"/>
      <c r="T742" s="3"/>
    </row>
    <row r="743" spans="8:20" ht="14.25" customHeight="1">
      <c r="H743" s="2"/>
      <c r="K743" s="2"/>
      <c r="P743" s="3"/>
      <c r="Q743" s="3"/>
      <c r="T743" s="3"/>
    </row>
    <row r="744" spans="8:20" ht="14.25" customHeight="1">
      <c r="H744" s="2"/>
      <c r="K744" s="2"/>
      <c r="P744" s="3"/>
      <c r="Q744" s="3"/>
      <c r="T744" s="3"/>
    </row>
    <row r="745" spans="8:20" ht="14.25" customHeight="1">
      <c r="H745" s="2"/>
      <c r="K745" s="2"/>
      <c r="P745" s="3"/>
      <c r="Q745" s="3"/>
      <c r="T745" s="3"/>
    </row>
    <row r="746" spans="8:20" ht="14.25" customHeight="1">
      <c r="H746" s="2"/>
      <c r="K746" s="2"/>
      <c r="P746" s="3"/>
      <c r="Q746" s="3"/>
      <c r="T746" s="3"/>
    </row>
    <row r="747" spans="8:20" ht="14.25" customHeight="1">
      <c r="H747" s="2"/>
      <c r="K747" s="2"/>
      <c r="P747" s="3"/>
      <c r="Q747" s="3"/>
      <c r="T747" s="3"/>
    </row>
    <row r="748" spans="8:20" ht="14.25" customHeight="1">
      <c r="H748" s="2"/>
      <c r="K748" s="2"/>
      <c r="P748" s="3"/>
      <c r="Q748" s="3"/>
      <c r="T748" s="3"/>
    </row>
    <row r="749" spans="8:20" ht="14.25" customHeight="1">
      <c r="H749" s="2"/>
      <c r="K749" s="2"/>
      <c r="P749" s="3"/>
      <c r="Q749" s="3"/>
      <c r="T749" s="3"/>
    </row>
    <row r="750" spans="8:20" ht="14.25" customHeight="1">
      <c r="H750" s="2"/>
      <c r="K750" s="2"/>
      <c r="P750" s="3"/>
      <c r="Q750" s="3"/>
      <c r="T750" s="3"/>
    </row>
    <row r="751" spans="8:20" ht="14.25" customHeight="1">
      <c r="H751" s="2"/>
      <c r="K751" s="2"/>
      <c r="P751" s="3"/>
      <c r="Q751" s="3"/>
      <c r="T751" s="3"/>
    </row>
    <row r="752" spans="8:20" ht="14.25" customHeight="1">
      <c r="H752" s="2"/>
      <c r="K752" s="2"/>
      <c r="P752" s="3"/>
      <c r="Q752" s="3"/>
      <c r="T752" s="3"/>
    </row>
    <row r="753" spans="8:20" ht="14.25" customHeight="1">
      <c r="H753" s="2"/>
      <c r="K753" s="2"/>
      <c r="P753" s="3"/>
      <c r="Q753" s="3"/>
      <c r="T753" s="3"/>
    </row>
    <row r="754" spans="8:20" ht="14.25" customHeight="1">
      <c r="H754" s="2"/>
      <c r="K754" s="2"/>
      <c r="P754" s="3"/>
      <c r="Q754" s="3"/>
      <c r="T754" s="3"/>
    </row>
    <row r="755" spans="8:20" ht="14.25" customHeight="1">
      <c r="H755" s="2"/>
      <c r="K755" s="2"/>
      <c r="P755" s="3"/>
      <c r="Q755" s="3"/>
      <c r="T755" s="3"/>
    </row>
    <row r="756" spans="8:20" ht="14.25" customHeight="1">
      <c r="H756" s="2"/>
      <c r="K756" s="2"/>
      <c r="P756" s="3"/>
      <c r="Q756" s="3"/>
      <c r="T756" s="3"/>
    </row>
    <row r="757" spans="8:20" ht="14.25" customHeight="1">
      <c r="H757" s="2"/>
      <c r="K757" s="2"/>
      <c r="P757" s="3"/>
      <c r="Q757" s="3"/>
      <c r="T757" s="3"/>
    </row>
    <row r="758" spans="8:20" ht="14.25" customHeight="1">
      <c r="H758" s="2"/>
      <c r="K758" s="2"/>
      <c r="P758" s="3"/>
      <c r="Q758" s="3"/>
      <c r="T758" s="3"/>
    </row>
    <row r="759" spans="8:20" ht="14.25" customHeight="1">
      <c r="H759" s="2"/>
      <c r="K759" s="2"/>
      <c r="P759" s="3"/>
      <c r="Q759" s="3"/>
      <c r="T759" s="3"/>
    </row>
    <row r="760" spans="8:20" ht="14.25" customHeight="1">
      <c r="H760" s="2"/>
      <c r="K760" s="2"/>
      <c r="P760" s="3"/>
      <c r="Q760" s="3"/>
      <c r="T760" s="3"/>
    </row>
    <row r="761" spans="8:20" ht="14.25" customHeight="1">
      <c r="H761" s="2"/>
      <c r="K761" s="2"/>
      <c r="P761" s="3"/>
      <c r="Q761" s="3"/>
      <c r="T761" s="3"/>
    </row>
    <row r="762" spans="8:20" ht="14.25" customHeight="1">
      <c r="H762" s="2"/>
      <c r="K762" s="2"/>
      <c r="P762" s="3"/>
      <c r="Q762" s="3"/>
      <c r="T762" s="3"/>
    </row>
    <row r="763" spans="8:20" ht="14.25" customHeight="1">
      <c r="H763" s="2"/>
      <c r="K763" s="2"/>
      <c r="P763" s="3"/>
      <c r="Q763" s="3"/>
      <c r="T763" s="3"/>
    </row>
    <row r="764" spans="8:20" ht="14.25" customHeight="1">
      <c r="H764" s="2"/>
      <c r="K764" s="2"/>
      <c r="P764" s="3"/>
      <c r="Q764" s="3"/>
      <c r="T764" s="3"/>
    </row>
    <row r="765" spans="8:20" ht="14.25" customHeight="1">
      <c r="H765" s="2"/>
      <c r="K765" s="2"/>
      <c r="P765" s="3"/>
      <c r="Q765" s="3"/>
      <c r="T765" s="3"/>
    </row>
    <row r="766" spans="8:20" ht="14.25" customHeight="1">
      <c r="H766" s="2"/>
      <c r="K766" s="2"/>
      <c r="P766" s="3"/>
      <c r="Q766" s="3"/>
      <c r="T766" s="3"/>
    </row>
    <row r="767" spans="8:20" ht="14.25" customHeight="1">
      <c r="H767" s="2"/>
      <c r="K767" s="2"/>
      <c r="P767" s="3"/>
      <c r="Q767" s="3"/>
      <c r="T767" s="3"/>
    </row>
    <row r="768" spans="8:20" ht="14.25" customHeight="1">
      <c r="H768" s="2"/>
      <c r="K768" s="2"/>
      <c r="P768" s="3"/>
      <c r="Q768" s="3"/>
      <c r="T768" s="3"/>
    </row>
    <row r="769" spans="8:20" ht="14.25" customHeight="1">
      <c r="H769" s="2"/>
      <c r="K769" s="2"/>
      <c r="P769" s="3"/>
      <c r="Q769" s="3"/>
      <c r="T769" s="3"/>
    </row>
    <row r="770" spans="8:20" ht="14.25" customHeight="1">
      <c r="H770" s="2"/>
      <c r="K770" s="2"/>
      <c r="P770" s="3"/>
      <c r="Q770" s="3"/>
      <c r="T770" s="3"/>
    </row>
    <row r="771" spans="8:20" ht="14.25" customHeight="1">
      <c r="H771" s="2"/>
      <c r="K771" s="2"/>
      <c r="P771" s="3"/>
      <c r="Q771" s="3"/>
      <c r="T771" s="3"/>
    </row>
    <row r="772" spans="8:20" ht="14.25" customHeight="1">
      <c r="H772" s="2"/>
      <c r="K772" s="2"/>
      <c r="P772" s="3"/>
      <c r="Q772" s="3"/>
      <c r="T772" s="3"/>
    </row>
    <row r="773" spans="8:20" ht="14.25" customHeight="1">
      <c r="H773" s="2"/>
      <c r="K773" s="2"/>
      <c r="P773" s="3"/>
      <c r="Q773" s="3"/>
      <c r="T773" s="3"/>
    </row>
    <row r="774" spans="8:20" ht="14.25" customHeight="1">
      <c r="H774" s="2"/>
      <c r="K774" s="2"/>
      <c r="P774" s="3"/>
      <c r="Q774" s="3"/>
      <c r="T774" s="3"/>
    </row>
    <row r="775" spans="8:20" ht="14.25" customHeight="1">
      <c r="H775" s="2"/>
      <c r="K775" s="2"/>
      <c r="P775" s="3"/>
      <c r="Q775" s="3"/>
      <c r="T775" s="3"/>
    </row>
    <row r="776" spans="8:20" ht="14.25" customHeight="1">
      <c r="H776" s="2"/>
      <c r="K776" s="2"/>
      <c r="P776" s="3"/>
      <c r="Q776" s="3"/>
      <c r="T776" s="3"/>
    </row>
    <row r="777" spans="8:20" ht="14.25" customHeight="1">
      <c r="H777" s="2"/>
      <c r="K777" s="2"/>
      <c r="P777" s="3"/>
      <c r="Q777" s="3"/>
      <c r="T777" s="3"/>
    </row>
    <row r="778" spans="8:20" ht="14.25" customHeight="1">
      <c r="H778" s="2"/>
      <c r="K778" s="2"/>
      <c r="P778" s="3"/>
      <c r="Q778" s="3"/>
      <c r="T778" s="3"/>
    </row>
    <row r="779" spans="8:20" ht="14.25" customHeight="1">
      <c r="H779" s="2"/>
      <c r="K779" s="2"/>
      <c r="P779" s="3"/>
      <c r="Q779" s="3"/>
      <c r="T779" s="3"/>
    </row>
    <row r="780" spans="8:20" ht="14.25" customHeight="1">
      <c r="H780" s="2"/>
      <c r="K780" s="2"/>
      <c r="P780" s="3"/>
      <c r="Q780" s="3"/>
      <c r="T780" s="3"/>
    </row>
    <row r="781" spans="8:20" ht="14.25" customHeight="1">
      <c r="H781" s="2"/>
      <c r="K781" s="2"/>
      <c r="P781" s="3"/>
      <c r="Q781" s="3"/>
      <c r="T781" s="3"/>
    </row>
    <row r="782" spans="8:20" ht="14.25" customHeight="1">
      <c r="H782" s="2"/>
      <c r="K782" s="2"/>
      <c r="P782" s="3"/>
      <c r="Q782" s="3"/>
      <c r="T782" s="3"/>
    </row>
    <row r="783" spans="8:20" ht="14.25" customHeight="1">
      <c r="H783" s="2"/>
      <c r="K783" s="2"/>
      <c r="P783" s="3"/>
      <c r="Q783" s="3"/>
      <c r="T783" s="3"/>
    </row>
    <row r="784" spans="8:20" ht="14.25" customHeight="1">
      <c r="H784" s="2"/>
      <c r="K784" s="2"/>
      <c r="P784" s="3"/>
      <c r="Q784" s="3"/>
      <c r="T784" s="3"/>
    </row>
    <row r="785" spans="8:20" ht="14.25" customHeight="1">
      <c r="H785" s="2"/>
      <c r="K785" s="2"/>
      <c r="P785" s="3"/>
      <c r="Q785" s="3"/>
      <c r="T785" s="3"/>
    </row>
    <row r="786" spans="8:20" ht="14.25" customHeight="1">
      <c r="H786" s="2"/>
      <c r="K786" s="2"/>
      <c r="P786" s="3"/>
      <c r="Q786" s="3"/>
      <c r="T786" s="3"/>
    </row>
    <row r="787" spans="8:20" ht="14.25" customHeight="1">
      <c r="H787" s="2"/>
      <c r="K787" s="2"/>
      <c r="P787" s="3"/>
      <c r="Q787" s="3"/>
      <c r="T787" s="3"/>
    </row>
    <row r="788" spans="8:20" ht="14.25" customHeight="1">
      <c r="H788" s="2"/>
      <c r="K788" s="2"/>
      <c r="P788" s="3"/>
      <c r="Q788" s="3"/>
      <c r="T788" s="3"/>
    </row>
    <row r="789" spans="8:20" ht="14.25" customHeight="1">
      <c r="H789" s="2"/>
      <c r="K789" s="2"/>
      <c r="P789" s="3"/>
      <c r="Q789" s="3"/>
      <c r="T789" s="3"/>
    </row>
    <row r="790" spans="8:20" ht="14.25" customHeight="1">
      <c r="H790" s="2"/>
      <c r="K790" s="2"/>
      <c r="P790" s="3"/>
      <c r="Q790" s="3"/>
      <c r="T790" s="3"/>
    </row>
    <row r="791" spans="8:20" ht="14.25" customHeight="1">
      <c r="H791" s="2"/>
      <c r="K791" s="2"/>
      <c r="P791" s="3"/>
      <c r="Q791" s="3"/>
      <c r="T791" s="3"/>
    </row>
    <row r="792" spans="8:20" ht="14.25" customHeight="1">
      <c r="H792" s="2"/>
      <c r="K792" s="2"/>
      <c r="P792" s="3"/>
      <c r="Q792" s="3"/>
      <c r="T792" s="3"/>
    </row>
    <row r="793" spans="8:20" ht="14.25" customHeight="1">
      <c r="H793" s="2"/>
      <c r="K793" s="2"/>
      <c r="P793" s="3"/>
      <c r="Q793" s="3"/>
      <c r="T793" s="3"/>
    </row>
    <row r="794" spans="8:20" ht="14.25" customHeight="1">
      <c r="H794" s="2"/>
      <c r="K794" s="2"/>
      <c r="P794" s="3"/>
      <c r="Q794" s="3"/>
      <c r="T794" s="3"/>
    </row>
    <row r="795" spans="8:20" ht="14.25" customHeight="1">
      <c r="H795" s="2"/>
      <c r="K795" s="2"/>
      <c r="P795" s="3"/>
      <c r="Q795" s="3"/>
      <c r="T795" s="3"/>
    </row>
    <row r="796" spans="8:20" ht="14.25" customHeight="1">
      <c r="H796" s="2"/>
      <c r="K796" s="2"/>
      <c r="P796" s="3"/>
      <c r="Q796" s="3"/>
      <c r="T796" s="3"/>
    </row>
    <row r="797" spans="8:20" ht="14.25" customHeight="1">
      <c r="H797" s="2"/>
      <c r="K797" s="2"/>
      <c r="P797" s="3"/>
      <c r="Q797" s="3"/>
      <c r="T797" s="3"/>
    </row>
    <row r="798" spans="8:20" ht="14.25" customHeight="1">
      <c r="H798" s="2"/>
      <c r="K798" s="2"/>
      <c r="P798" s="3"/>
      <c r="Q798" s="3"/>
      <c r="T798" s="3"/>
    </row>
    <row r="799" spans="8:20" ht="14.25" customHeight="1">
      <c r="H799" s="2"/>
      <c r="K799" s="2"/>
      <c r="P799" s="3"/>
      <c r="Q799" s="3"/>
      <c r="T799" s="3"/>
    </row>
    <row r="800" spans="8:20" ht="14.25" customHeight="1">
      <c r="H800" s="2"/>
      <c r="K800" s="2"/>
      <c r="P800" s="3"/>
      <c r="Q800" s="3"/>
      <c r="T800" s="3"/>
    </row>
    <row r="801" spans="8:20" ht="14.25" customHeight="1">
      <c r="H801" s="2"/>
      <c r="K801" s="2"/>
      <c r="P801" s="3"/>
      <c r="Q801" s="3"/>
      <c r="T801" s="3"/>
    </row>
    <row r="802" spans="8:20" ht="14.25" customHeight="1">
      <c r="H802" s="2"/>
      <c r="K802" s="2"/>
      <c r="P802" s="3"/>
      <c r="Q802" s="3"/>
      <c r="T802" s="3"/>
    </row>
    <row r="803" spans="8:20" ht="14.25" customHeight="1">
      <c r="H803" s="2"/>
      <c r="K803" s="2"/>
      <c r="P803" s="3"/>
      <c r="Q803" s="3"/>
      <c r="T803" s="3"/>
    </row>
    <row r="804" spans="8:20" ht="14.25" customHeight="1">
      <c r="H804" s="2"/>
      <c r="K804" s="2"/>
      <c r="P804" s="3"/>
      <c r="Q804" s="3"/>
      <c r="T804" s="3"/>
    </row>
    <row r="805" spans="8:20" ht="14.25" customHeight="1">
      <c r="H805" s="2"/>
      <c r="K805" s="2"/>
      <c r="P805" s="3"/>
      <c r="Q805" s="3"/>
      <c r="T805" s="3"/>
    </row>
    <row r="806" spans="8:20" ht="14.25" customHeight="1">
      <c r="H806" s="2"/>
      <c r="K806" s="2"/>
      <c r="P806" s="3"/>
      <c r="Q806" s="3"/>
      <c r="T806" s="3"/>
    </row>
    <row r="807" spans="8:20" ht="14.25" customHeight="1">
      <c r="H807" s="2"/>
      <c r="K807" s="2"/>
      <c r="P807" s="3"/>
      <c r="Q807" s="3"/>
      <c r="T807" s="3"/>
    </row>
    <row r="808" spans="8:20" ht="14.25" customHeight="1">
      <c r="H808" s="2"/>
      <c r="K808" s="2"/>
      <c r="P808" s="3"/>
      <c r="Q808" s="3"/>
      <c r="T808" s="3"/>
    </row>
    <row r="809" spans="8:20" ht="14.25" customHeight="1">
      <c r="H809" s="2"/>
      <c r="K809" s="2"/>
      <c r="P809" s="3"/>
      <c r="Q809" s="3"/>
      <c r="T809" s="3"/>
    </row>
    <row r="810" spans="8:20" ht="14.25" customHeight="1">
      <c r="H810" s="2"/>
      <c r="K810" s="2"/>
      <c r="P810" s="3"/>
      <c r="Q810" s="3"/>
      <c r="T810" s="3"/>
    </row>
    <row r="811" spans="8:20" ht="14.25" customHeight="1">
      <c r="H811" s="2"/>
      <c r="K811" s="2"/>
      <c r="P811" s="3"/>
      <c r="Q811" s="3"/>
      <c r="T811" s="3"/>
    </row>
    <row r="812" spans="8:20" ht="14.25" customHeight="1">
      <c r="H812" s="2"/>
      <c r="K812" s="2"/>
      <c r="P812" s="3"/>
      <c r="Q812" s="3"/>
      <c r="T812" s="3"/>
    </row>
    <row r="813" spans="8:20" ht="14.25" customHeight="1">
      <c r="H813" s="2"/>
      <c r="K813" s="2"/>
      <c r="P813" s="3"/>
      <c r="Q813" s="3"/>
      <c r="T813" s="3"/>
    </row>
    <row r="814" spans="8:20" ht="14.25" customHeight="1">
      <c r="H814" s="2"/>
      <c r="K814" s="2"/>
      <c r="P814" s="3"/>
      <c r="Q814" s="3"/>
      <c r="T814" s="3"/>
    </row>
    <row r="815" spans="8:20" ht="14.25" customHeight="1">
      <c r="H815" s="2"/>
      <c r="K815" s="2"/>
      <c r="P815" s="3"/>
      <c r="Q815" s="3"/>
      <c r="T815" s="3"/>
    </row>
    <row r="816" spans="8:20" ht="14.25" customHeight="1">
      <c r="H816" s="2"/>
      <c r="K816" s="2"/>
      <c r="P816" s="3"/>
      <c r="Q816" s="3"/>
      <c r="T816" s="3"/>
    </row>
    <row r="817" spans="8:20" ht="14.25" customHeight="1">
      <c r="H817" s="2"/>
      <c r="K817" s="2"/>
      <c r="P817" s="3"/>
      <c r="Q817" s="3"/>
      <c r="T817" s="3"/>
    </row>
    <row r="818" spans="8:20" ht="14.25" customHeight="1">
      <c r="H818" s="2"/>
      <c r="K818" s="2"/>
      <c r="P818" s="3"/>
      <c r="Q818" s="3"/>
      <c r="T818" s="3"/>
    </row>
    <row r="819" spans="8:20" ht="14.25" customHeight="1">
      <c r="H819" s="2"/>
      <c r="K819" s="2"/>
      <c r="P819" s="3"/>
      <c r="Q819" s="3"/>
      <c r="T819" s="3"/>
    </row>
    <row r="820" spans="8:20" ht="14.25" customHeight="1">
      <c r="H820" s="2"/>
      <c r="K820" s="2"/>
      <c r="P820" s="3"/>
      <c r="Q820" s="3"/>
      <c r="T820" s="3"/>
    </row>
    <row r="821" spans="8:20" ht="14.25" customHeight="1">
      <c r="H821" s="2"/>
      <c r="K821" s="2"/>
      <c r="P821" s="3"/>
      <c r="Q821" s="3"/>
      <c r="T821" s="3"/>
    </row>
    <row r="822" spans="8:20" ht="14.25" customHeight="1">
      <c r="H822" s="2"/>
      <c r="K822" s="2"/>
      <c r="P822" s="3"/>
      <c r="Q822" s="3"/>
      <c r="T822" s="3"/>
    </row>
    <row r="823" spans="8:20" ht="14.25" customHeight="1">
      <c r="H823" s="2"/>
      <c r="K823" s="2"/>
      <c r="P823" s="3"/>
      <c r="Q823" s="3"/>
      <c r="T823" s="3"/>
    </row>
    <row r="824" spans="8:20" ht="14.25" customHeight="1">
      <c r="H824" s="2"/>
      <c r="K824" s="2"/>
      <c r="P824" s="3"/>
      <c r="Q824" s="3"/>
      <c r="T824" s="3"/>
    </row>
    <row r="825" spans="8:20" ht="14.25" customHeight="1">
      <c r="H825" s="2"/>
      <c r="K825" s="2"/>
      <c r="P825" s="3"/>
      <c r="Q825" s="3"/>
      <c r="T825" s="3"/>
    </row>
    <row r="826" spans="8:20" ht="14.25" customHeight="1">
      <c r="H826" s="2"/>
      <c r="K826" s="2"/>
      <c r="P826" s="3"/>
      <c r="Q826" s="3"/>
      <c r="T826" s="3"/>
    </row>
    <row r="827" spans="8:20" ht="14.25" customHeight="1">
      <c r="H827" s="2"/>
      <c r="K827" s="2"/>
      <c r="P827" s="3"/>
      <c r="Q827" s="3"/>
      <c r="T827" s="3"/>
    </row>
    <row r="828" spans="8:20" ht="14.25" customHeight="1">
      <c r="H828" s="2"/>
      <c r="K828" s="2"/>
      <c r="P828" s="3"/>
      <c r="Q828" s="3"/>
      <c r="T828" s="3"/>
    </row>
    <row r="829" spans="8:20" ht="14.25" customHeight="1">
      <c r="H829" s="2"/>
      <c r="K829" s="2"/>
      <c r="P829" s="3"/>
      <c r="Q829" s="3"/>
      <c r="T829" s="3"/>
    </row>
    <row r="830" spans="8:20" ht="14.25" customHeight="1">
      <c r="H830" s="2"/>
      <c r="K830" s="2"/>
      <c r="P830" s="3"/>
      <c r="Q830" s="3"/>
      <c r="T830" s="3"/>
    </row>
    <row r="831" spans="8:20" ht="14.25" customHeight="1">
      <c r="H831" s="2"/>
      <c r="K831" s="2"/>
      <c r="P831" s="3"/>
      <c r="Q831" s="3"/>
      <c r="T831" s="3"/>
    </row>
    <row r="832" spans="8:20" ht="14.25" customHeight="1">
      <c r="H832" s="2"/>
      <c r="K832" s="2"/>
      <c r="P832" s="3"/>
      <c r="Q832" s="3"/>
      <c r="T832" s="3"/>
    </row>
    <row r="833" spans="8:20" ht="14.25" customHeight="1">
      <c r="H833" s="2"/>
      <c r="K833" s="2"/>
      <c r="P833" s="3"/>
      <c r="Q833" s="3"/>
      <c r="T833" s="3"/>
    </row>
    <row r="834" spans="8:20" ht="14.25" customHeight="1">
      <c r="H834" s="2"/>
      <c r="K834" s="2"/>
      <c r="P834" s="3"/>
      <c r="Q834" s="3"/>
      <c r="T834" s="3"/>
    </row>
    <row r="835" spans="8:20" ht="14.25" customHeight="1">
      <c r="H835" s="2"/>
      <c r="K835" s="2"/>
      <c r="P835" s="3"/>
      <c r="Q835" s="3"/>
      <c r="T835" s="3"/>
    </row>
    <row r="836" spans="8:20" ht="14.25" customHeight="1">
      <c r="H836" s="2"/>
      <c r="K836" s="2"/>
      <c r="P836" s="3"/>
      <c r="Q836" s="3"/>
      <c r="T836" s="3"/>
    </row>
    <row r="837" spans="8:20" ht="14.25" customHeight="1">
      <c r="H837" s="2"/>
      <c r="K837" s="2"/>
      <c r="P837" s="3"/>
      <c r="Q837" s="3"/>
      <c r="T837" s="3"/>
    </row>
    <row r="838" spans="8:20" ht="14.25" customHeight="1">
      <c r="H838" s="2"/>
      <c r="K838" s="2"/>
      <c r="P838" s="3"/>
      <c r="Q838" s="3"/>
      <c r="T838" s="3"/>
    </row>
    <row r="839" spans="8:20" ht="14.25" customHeight="1">
      <c r="H839" s="2"/>
      <c r="K839" s="2"/>
      <c r="P839" s="3"/>
      <c r="Q839" s="3"/>
      <c r="T839" s="3"/>
    </row>
    <row r="840" spans="8:20" ht="14.25" customHeight="1">
      <c r="H840" s="2"/>
      <c r="K840" s="2"/>
      <c r="P840" s="3"/>
      <c r="Q840" s="3"/>
      <c r="T840" s="3"/>
    </row>
    <row r="841" spans="8:20" ht="14.25" customHeight="1">
      <c r="H841" s="2"/>
      <c r="K841" s="2"/>
      <c r="P841" s="3"/>
      <c r="Q841" s="3"/>
      <c r="T841" s="3"/>
    </row>
    <row r="842" spans="8:20" ht="14.25" customHeight="1">
      <c r="H842" s="2"/>
      <c r="K842" s="2"/>
      <c r="P842" s="3"/>
      <c r="Q842" s="3"/>
      <c r="T842" s="3"/>
    </row>
    <row r="843" spans="8:20" ht="14.25" customHeight="1">
      <c r="H843" s="2"/>
      <c r="K843" s="2"/>
      <c r="P843" s="3"/>
      <c r="Q843" s="3"/>
      <c r="T843" s="3"/>
    </row>
    <row r="844" spans="8:20" ht="14.25" customHeight="1">
      <c r="H844" s="2"/>
      <c r="K844" s="2"/>
      <c r="P844" s="3"/>
      <c r="Q844" s="3"/>
      <c r="T844" s="3"/>
    </row>
    <row r="845" spans="8:20" ht="14.25" customHeight="1">
      <c r="H845" s="2"/>
      <c r="K845" s="2"/>
      <c r="P845" s="3"/>
      <c r="Q845" s="3"/>
      <c r="T845" s="3"/>
    </row>
    <row r="846" spans="8:20" ht="14.25" customHeight="1">
      <c r="H846" s="2"/>
      <c r="K846" s="2"/>
      <c r="P846" s="3"/>
      <c r="Q846" s="3"/>
      <c r="T846" s="3"/>
    </row>
    <row r="847" spans="8:20" ht="14.25" customHeight="1">
      <c r="H847" s="2"/>
      <c r="K847" s="2"/>
      <c r="P847" s="3"/>
      <c r="Q847" s="3"/>
      <c r="T847" s="3"/>
    </row>
    <row r="848" spans="8:20" ht="14.25" customHeight="1">
      <c r="H848" s="2"/>
      <c r="K848" s="2"/>
      <c r="P848" s="3"/>
      <c r="Q848" s="3"/>
      <c r="T848" s="3"/>
    </row>
    <row r="849" spans="8:20" ht="14.25" customHeight="1">
      <c r="H849" s="2"/>
      <c r="K849" s="2"/>
      <c r="P849" s="3"/>
      <c r="Q849" s="3"/>
      <c r="T849" s="3"/>
    </row>
    <row r="850" spans="8:20" ht="14.25" customHeight="1">
      <c r="H850" s="2"/>
      <c r="K850" s="2"/>
      <c r="P850" s="3"/>
      <c r="Q850" s="3"/>
      <c r="T850" s="3"/>
    </row>
    <row r="851" spans="8:20" ht="14.25" customHeight="1">
      <c r="H851" s="2"/>
      <c r="K851" s="2"/>
      <c r="P851" s="3"/>
      <c r="Q851" s="3"/>
      <c r="T851" s="3"/>
    </row>
    <row r="852" spans="8:20" ht="14.25" customHeight="1">
      <c r="H852" s="2"/>
      <c r="K852" s="2"/>
      <c r="P852" s="3"/>
      <c r="Q852" s="3"/>
      <c r="T852" s="3"/>
    </row>
    <row r="853" spans="8:20" ht="14.25" customHeight="1">
      <c r="H853" s="2"/>
      <c r="K853" s="2"/>
      <c r="P853" s="3"/>
      <c r="Q853" s="3"/>
      <c r="T853" s="3"/>
    </row>
    <row r="854" spans="8:20" ht="14.25" customHeight="1">
      <c r="H854" s="2"/>
      <c r="K854" s="2"/>
      <c r="P854" s="3"/>
      <c r="Q854" s="3"/>
      <c r="T854" s="3"/>
    </row>
    <row r="855" spans="8:20" ht="14.25" customHeight="1">
      <c r="H855" s="2"/>
      <c r="K855" s="2"/>
      <c r="P855" s="3"/>
      <c r="Q855" s="3"/>
      <c r="T855" s="3"/>
    </row>
    <row r="856" spans="8:20" ht="14.25" customHeight="1">
      <c r="H856" s="2"/>
      <c r="K856" s="2"/>
      <c r="P856" s="3"/>
      <c r="Q856" s="3"/>
      <c r="T856" s="3"/>
    </row>
    <row r="857" spans="8:20" ht="14.25" customHeight="1">
      <c r="H857" s="2"/>
      <c r="K857" s="2"/>
      <c r="P857" s="3"/>
      <c r="Q857" s="3"/>
      <c r="T857" s="3"/>
    </row>
    <row r="858" spans="8:20" ht="14.25" customHeight="1">
      <c r="H858" s="2"/>
      <c r="K858" s="2"/>
      <c r="P858" s="3"/>
      <c r="Q858" s="3"/>
      <c r="T858" s="3"/>
    </row>
    <row r="859" spans="8:20" ht="14.25" customHeight="1">
      <c r="H859" s="2"/>
      <c r="K859" s="2"/>
      <c r="P859" s="3"/>
      <c r="Q859" s="3"/>
      <c r="T859" s="3"/>
    </row>
    <row r="860" spans="8:20" ht="14.25" customHeight="1">
      <c r="H860" s="2"/>
      <c r="K860" s="2"/>
      <c r="P860" s="3"/>
      <c r="Q860" s="3"/>
      <c r="T860" s="3"/>
    </row>
    <row r="861" spans="8:20" ht="14.25" customHeight="1">
      <c r="H861" s="2"/>
      <c r="K861" s="2"/>
      <c r="P861" s="3"/>
      <c r="Q861" s="3"/>
      <c r="T861" s="3"/>
    </row>
    <row r="862" spans="8:20" ht="14.25" customHeight="1">
      <c r="H862" s="2"/>
      <c r="K862" s="2"/>
      <c r="P862" s="3"/>
      <c r="Q862" s="3"/>
      <c r="T862" s="3"/>
    </row>
    <row r="863" spans="8:20" ht="14.25" customHeight="1">
      <c r="H863" s="2"/>
      <c r="K863" s="2"/>
      <c r="P863" s="3"/>
      <c r="Q863" s="3"/>
      <c r="T863" s="3"/>
    </row>
    <row r="864" spans="8:20" ht="14.25" customHeight="1">
      <c r="H864" s="2"/>
      <c r="K864" s="2"/>
      <c r="P864" s="3"/>
      <c r="Q864" s="3"/>
      <c r="T864" s="3"/>
    </row>
    <row r="865" spans="8:20" ht="14.25" customHeight="1">
      <c r="H865" s="2"/>
      <c r="K865" s="2"/>
      <c r="P865" s="3"/>
      <c r="Q865" s="3"/>
      <c r="T865" s="3"/>
    </row>
    <row r="866" spans="8:20" ht="14.25" customHeight="1">
      <c r="H866" s="2"/>
      <c r="K866" s="2"/>
      <c r="P866" s="3"/>
      <c r="Q866" s="3"/>
      <c r="T866" s="3"/>
    </row>
    <row r="867" spans="8:20" ht="14.25" customHeight="1">
      <c r="H867" s="2"/>
      <c r="K867" s="2"/>
      <c r="P867" s="3"/>
      <c r="Q867" s="3"/>
      <c r="T867" s="3"/>
    </row>
    <row r="868" spans="8:20" ht="14.25" customHeight="1">
      <c r="H868" s="2"/>
      <c r="K868" s="2"/>
      <c r="P868" s="3"/>
      <c r="Q868" s="3"/>
      <c r="T868" s="3"/>
    </row>
    <row r="869" spans="8:20" ht="14.25" customHeight="1">
      <c r="H869" s="2"/>
      <c r="K869" s="2"/>
      <c r="P869" s="3"/>
      <c r="Q869" s="3"/>
      <c r="T869" s="3"/>
    </row>
    <row r="870" spans="8:20" ht="14.25" customHeight="1">
      <c r="H870" s="2"/>
      <c r="K870" s="2"/>
      <c r="P870" s="3"/>
      <c r="Q870" s="3"/>
      <c r="T870" s="3"/>
    </row>
    <row r="871" spans="8:20" ht="14.25" customHeight="1">
      <c r="H871" s="2"/>
      <c r="K871" s="2"/>
      <c r="P871" s="3"/>
      <c r="Q871" s="3"/>
      <c r="T871" s="3"/>
    </row>
    <row r="872" spans="8:20" ht="14.25" customHeight="1">
      <c r="H872" s="2"/>
      <c r="K872" s="2"/>
      <c r="P872" s="3"/>
      <c r="Q872" s="3"/>
      <c r="T872" s="3"/>
    </row>
    <row r="873" spans="8:20" ht="14.25" customHeight="1">
      <c r="H873" s="2"/>
      <c r="K873" s="2"/>
      <c r="P873" s="3"/>
      <c r="Q873" s="3"/>
      <c r="T873" s="3"/>
    </row>
    <row r="874" spans="8:20" ht="14.25" customHeight="1">
      <c r="H874" s="2"/>
      <c r="K874" s="2"/>
      <c r="P874" s="3"/>
      <c r="Q874" s="3"/>
      <c r="T874" s="3"/>
    </row>
    <row r="875" spans="8:20" ht="14.25" customHeight="1">
      <c r="H875" s="2"/>
      <c r="K875" s="2"/>
      <c r="P875" s="3"/>
      <c r="Q875" s="3"/>
      <c r="T875" s="3"/>
    </row>
    <row r="876" spans="8:20" ht="14.25" customHeight="1">
      <c r="H876" s="2"/>
      <c r="K876" s="2"/>
      <c r="P876" s="3"/>
      <c r="Q876" s="3"/>
      <c r="T876" s="3"/>
    </row>
    <row r="877" spans="8:20" ht="14.25" customHeight="1">
      <c r="H877" s="2"/>
      <c r="K877" s="2"/>
      <c r="P877" s="3"/>
      <c r="Q877" s="3"/>
      <c r="T877" s="3"/>
    </row>
    <row r="878" spans="8:20" ht="14.25" customHeight="1">
      <c r="H878" s="2"/>
      <c r="K878" s="2"/>
      <c r="P878" s="3"/>
      <c r="Q878" s="3"/>
      <c r="T878" s="3"/>
    </row>
    <row r="879" spans="8:20" ht="14.25" customHeight="1">
      <c r="H879" s="2"/>
      <c r="K879" s="2"/>
      <c r="P879" s="3"/>
      <c r="Q879" s="3"/>
      <c r="T879" s="3"/>
    </row>
    <row r="880" spans="8:20" ht="14.25" customHeight="1">
      <c r="H880" s="2"/>
      <c r="K880" s="2"/>
      <c r="P880" s="3"/>
      <c r="Q880" s="3"/>
      <c r="T880" s="3"/>
    </row>
    <row r="881" spans="8:20" ht="14.25" customHeight="1">
      <c r="H881" s="2"/>
      <c r="K881" s="2"/>
      <c r="P881" s="3"/>
      <c r="Q881" s="3"/>
      <c r="T881" s="3"/>
    </row>
    <row r="882" spans="8:20" ht="14.25" customHeight="1">
      <c r="H882" s="2"/>
      <c r="K882" s="2"/>
      <c r="P882" s="3"/>
      <c r="Q882" s="3"/>
      <c r="T882" s="3"/>
    </row>
    <row r="883" spans="8:20" ht="14.25" customHeight="1">
      <c r="H883" s="2"/>
      <c r="K883" s="2"/>
      <c r="P883" s="3"/>
      <c r="Q883" s="3"/>
      <c r="T883" s="3"/>
    </row>
    <row r="884" spans="8:20" ht="14.25" customHeight="1">
      <c r="H884" s="2"/>
      <c r="K884" s="2"/>
      <c r="P884" s="3"/>
      <c r="Q884" s="3"/>
      <c r="T884" s="3"/>
    </row>
    <row r="885" spans="8:20" ht="14.25" customHeight="1">
      <c r="H885" s="2"/>
      <c r="K885" s="2"/>
      <c r="P885" s="3"/>
      <c r="Q885" s="3"/>
      <c r="T885" s="3"/>
    </row>
    <row r="886" spans="8:20" ht="14.25" customHeight="1">
      <c r="H886" s="2"/>
      <c r="K886" s="2"/>
      <c r="P886" s="3"/>
      <c r="Q886" s="3"/>
      <c r="T886" s="3"/>
    </row>
    <row r="887" spans="8:20" ht="14.25" customHeight="1">
      <c r="H887" s="2"/>
      <c r="K887" s="2"/>
      <c r="P887" s="3"/>
      <c r="Q887" s="3"/>
      <c r="T887" s="3"/>
    </row>
    <row r="888" spans="8:20" ht="14.25" customHeight="1">
      <c r="H888" s="2"/>
      <c r="K888" s="2"/>
      <c r="P888" s="3"/>
      <c r="Q888" s="3"/>
      <c r="T888" s="3"/>
    </row>
    <row r="889" spans="8:20" ht="14.25" customHeight="1">
      <c r="H889" s="2"/>
      <c r="K889" s="2"/>
      <c r="P889" s="3"/>
      <c r="Q889" s="3"/>
      <c r="T889" s="3"/>
    </row>
    <row r="890" spans="8:20" ht="14.25" customHeight="1">
      <c r="H890" s="2"/>
      <c r="K890" s="2"/>
      <c r="P890" s="3"/>
      <c r="Q890" s="3"/>
      <c r="T890" s="3"/>
    </row>
    <row r="891" spans="8:20" ht="14.25" customHeight="1">
      <c r="H891" s="2"/>
      <c r="K891" s="2"/>
      <c r="P891" s="3"/>
      <c r="Q891" s="3"/>
      <c r="T891" s="3"/>
    </row>
    <row r="892" spans="8:20" ht="14.25" customHeight="1">
      <c r="H892" s="2"/>
      <c r="K892" s="2"/>
      <c r="P892" s="3"/>
      <c r="Q892" s="3"/>
      <c r="T892" s="3"/>
    </row>
    <row r="893" spans="8:20" ht="14.25" customHeight="1">
      <c r="H893" s="2"/>
      <c r="K893" s="2"/>
      <c r="P893" s="3"/>
      <c r="Q893" s="3"/>
      <c r="T893" s="3"/>
    </row>
    <row r="894" spans="8:20" ht="14.25" customHeight="1">
      <c r="H894" s="2"/>
      <c r="K894" s="2"/>
      <c r="P894" s="3"/>
      <c r="Q894" s="3"/>
      <c r="T894" s="3"/>
    </row>
    <row r="895" spans="8:20" ht="14.25" customHeight="1">
      <c r="H895" s="2"/>
      <c r="K895" s="2"/>
      <c r="P895" s="3"/>
      <c r="Q895" s="3"/>
      <c r="T895" s="3"/>
    </row>
    <row r="896" spans="8:20" ht="14.25" customHeight="1">
      <c r="H896" s="2"/>
      <c r="K896" s="2"/>
      <c r="P896" s="3"/>
      <c r="Q896" s="3"/>
      <c r="T896" s="3"/>
    </row>
    <row r="897" spans="8:20" ht="14.25" customHeight="1">
      <c r="H897" s="2"/>
      <c r="K897" s="2"/>
      <c r="P897" s="3"/>
      <c r="Q897" s="3"/>
      <c r="T897" s="3"/>
    </row>
    <row r="898" spans="8:20" ht="14.25" customHeight="1">
      <c r="H898" s="2"/>
      <c r="K898" s="2"/>
      <c r="P898" s="3"/>
      <c r="Q898" s="3"/>
      <c r="T898" s="3"/>
    </row>
    <row r="899" spans="8:20" ht="14.25" customHeight="1">
      <c r="H899" s="2"/>
      <c r="K899" s="2"/>
      <c r="P899" s="3"/>
      <c r="Q899" s="3"/>
      <c r="T899" s="3"/>
    </row>
    <row r="900" spans="8:20" ht="14.25" customHeight="1">
      <c r="H900" s="2"/>
      <c r="K900" s="2"/>
      <c r="P900" s="3"/>
      <c r="Q900" s="3"/>
      <c r="T900" s="3"/>
    </row>
    <row r="901" spans="8:20" ht="14.25" customHeight="1">
      <c r="H901" s="2"/>
      <c r="K901" s="2"/>
      <c r="P901" s="3"/>
      <c r="Q901" s="3"/>
      <c r="T901" s="3"/>
    </row>
    <row r="902" spans="8:20" ht="14.25" customHeight="1">
      <c r="H902" s="2"/>
      <c r="K902" s="2"/>
      <c r="P902" s="3"/>
      <c r="Q902" s="3"/>
      <c r="T902" s="3"/>
    </row>
    <row r="903" spans="8:20" ht="14.25" customHeight="1">
      <c r="H903" s="2"/>
      <c r="K903" s="2"/>
      <c r="P903" s="3"/>
      <c r="Q903" s="3"/>
      <c r="T903" s="3"/>
    </row>
    <row r="904" spans="8:20" ht="14.25" customHeight="1">
      <c r="H904" s="2"/>
      <c r="K904" s="2"/>
      <c r="P904" s="3"/>
      <c r="Q904" s="3"/>
      <c r="T904" s="3"/>
    </row>
    <row r="905" spans="8:20" ht="14.25" customHeight="1">
      <c r="H905" s="2"/>
      <c r="K905" s="2"/>
      <c r="P905" s="3"/>
      <c r="Q905" s="3"/>
      <c r="T905" s="3"/>
    </row>
    <row r="906" spans="8:20" ht="14.25" customHeight="1">
      <c r="H906" s="2"/>
      <c r="K906" s="2"/>
      <c r="P906" s="3"/>
      <c r="Q906" s="3"/>
      <c r="T906" s="3"/>
    </row>
    <row r="907" spans="8:20" ht="14.25" customHeight="1">
      <c r="H907" s="2"/>
      <c r="K907" s="2"/>
      <c r="P907" s="3"/>
      <c r="Q907" s="3"/>
      <c r="T907" s="3"/>
    </row>
    <row r="908" spans="8:20" ht="14.25" customHeight="1">
      <c r="H908" s="2"/>
      <c r="K908" s="2"/>
      <c r="P908" s="3"/>
      <c r="Q908" s="3"/>
      <c r="T908" s="3"/>
    </row>
    <row r="909" spans="8:20" ht="14.25" customHeight="1">
      <c r="H909" s="2"/>
      <c r="K909" s="2"/>
      <c r="P909" s="3"/>
      <c r="Q909" s="3"/>
      <c r="T909" s="3"/>
    </row>
    <row r="910" spans="8:20" ht="14.25" customHeight="1">
      <c r="H910" s="2"/>
      <c r="K910" s="2"/>
      <c r="P910" s="3"/>
      <c r="Q910" s="3"/>
      <c r="T910" s="3"/>
    </row>
    <row r="911" spans="8:20" ht="14.25" customHeight="1">
      <c r="H911" s="2"/>
      <c r="K911" s="2"/>
      <c r="P911" s="3"/>
      <c r="Q911" s="3"/>
      <c r="T911" s="3"/>
    </row>
    <row r="912" spans="8:20" ht="14.25" customHeight="1">
      <c r="H912" s="2"/>
      <c r="K912" s="2"/>
      <c r="P912" s="3"/>
      <c r="Q912" s="3"/>
      <c r="T912" s="3"/>
    </row>
    <row r="913" spans="8:20" ht="14.25" customHeight="1">
      <c r="H913" s="2"/>
      <c r="K913" s="2"/>
      <c r="P913" s="3"/>
      <c r="Q913" s="3"/>
      <c r="T913" s="3"/>
    </row>
    <row r="914" spans="8:20" ht="14.25" customHeight="1">
      <c r="H914" s="2"/>
      <c r="K914" s="2"/>
      <c r="P914" s="3"/>
      <c r="Q914" s="3"/>
      <c r="T914" s="3"/>
    </row>
    <row r="915" spans="8:20" ht="14.25" customHeight="1">
      <c r="H915" s="2"/>
      <c r="K915" s="2"/>
      <c r="P915" s="3"/>
      <c r="Q915" s="3"/>
      <c r="T915" s="3"/>
    </row>
    <row r="916" spans="8:20" ht="14.25" customHeight="1">
      <c r="H916" s="2"/>
      <c r="K916" s="2"/>
      <c r="P916" s="3"/>
      <c r="Q916" s="3"/>
      <c r="T916" s="3"/>
    </row>
    <row r="917" spans="8:20" ht="14.25" customHeight="1">
      <c r="H917" s="2"/>
      <c r="K917" s="2"/>
      <c r="P917" s="3"/>
      <c r="Q917" s="3"/>
      <c r="T917" s="3"/>
    </row>
    <row r="918" spans="8:20" ht="14.25" customHeight="1">
      <c r="H918" s="2"/>
      <c r="K918" s="2"/>
      <c r="P918" s="3"/>
      <c r="Q918" s="3"/>
      <c r="T918" s="3"/>
    </row>
    <row r="919" spans="8:20" ht="14.25" customHeight="1">
      <c r="H919" s="2"/>
      <c r="K919" s="2"/>
      <c r="P919" s="3"/>
      <c r="Q919" s="3"/>
      <c r="T919" s="3"/>
    </row>
    <row r="920" spans="8:20" ht="14.25" customHeight="1">
      <c r="H920" s="2"/>
      <c r="K920" s="2"/>
      <c r="P920" s="3"/>
      <c r="Q920" s="3"/>
      <c r="T920" s="3"/>
    </row>
    <row r="921" spans="8:20" ht="14.25" customHeight="1">
      <c r="H921" s="2"/>
      <c r="K921" s="2"/>
      <c r="P921" s="3"/>
      <c r="Q921" s="3"/>
      <c r="T921" s="3"/>
    </row>
    <row r="922" spans="8:20" ht="14.25" customHeight="1">
      <c r="H922" s="2"/>
      <c r="K922" s="2"/>
      <c r="P922" s="3"/>
      <c r="Q922" s="3"/>
      <c r="T922" s="3"/>
    </row>
    <row r="923" spans="8:20" ht="14.25" customHeight="1">
      <c r="H923" s="2"/>
      <c r="K923" s="2"/>
      <c r="P923" s="3"/>
      <c r="Q923" s="3"/>
      <c r="T923" s="3"/>
    </row>
    <row r="924" spans="8:20" ht="14.25" customHeight="1">
      <c r="H924" s="2"/>
      <c r="K924" s="2"/>
      <c r="P924" s="3"/>
      <c r="Q924" s="3"/>
      <c r="T924" s="3"/>
    </row>
    <row r="925" spans="8:20" ht="14.25" customHeight="1">
      <c r="H925" s="2"/>
      <c r="K925" s="2"/>
      <c r="P925" s="3"/>
      <c r="Q925" s="3"/>
      <c r="T925" s="3"/>
    </row>
    <row r="926" spans="8:20" ht="14.25" customHeight="1">
      <c r="H926" s="2"/>
      <c r="K926" s="2"/>
      <c r="P926" s="3"/>
      <c r="Q926" s="3"/>
      <c r="T926" s="3"/>
    </row>
    <row r="927" spans="8:20" ht="14.25" customHeight="1">
      <c r="H927" s="2"/>
      <c r="K927" s="2"/>
      <c r="P927" s="3"/>
      <c r="Q927" s="3"/>
      <c r="T927" s="3"/>
    </row>
    <row r="928" spans="8:20" ht="14.25" customHeight="1">
      <c r="H928" s="2"/>
      <c r="K928" s="2"/>
      <c r="P928" s="3"/>
      <c r="Q928" s="3"/>
      <c r="T928" s="3"/>
    </row>
    <row r="929" spans="8:20" ht="14.25" customHeight="1">
      <c r="H929" s="2"/>
      <c r="K929" s="2"/>
      <c r="P929" s="3"/>
      <c r="Q929" s="3"/>
      <c r="T929" s="3"/>
    </row>
    <row r="930" spans="8:20" ht="14.25" customHeight="1">
      <c r="H930" s="2"/>
      <c r="K930" s="2"/>
      <c r="P930" s="3"/>
      <c r="Q930" s="3"/>
      <c r="T930" s="3"/>
    </row>
    <row r="931" spans="8:20" ht="14.25" customHeight="1">
      <c r="H931" s="2"/>
      <c r="K931" s="2"/>
      <c r="P931" s="3"/>
      <c r="Q931" s="3"/>
      <c r="T931" s="3"/>
    </row>
    <row r="932" spans="8:20" ht="14.25" customHeight="1">
      <c r="H932" s="2"/>
      <c r="K932" s="2"/>
      <c r="P932" s="3"/>
      <c r="Q932" s="3"/>
      <c r="T932" s="3"/>
    </row>
    <row r="933" spans="8:20" ht="14.25" customHeight="1">
      <c r="H933" s="2"/>
      <c r="K933" s="2"/>
      <c r="P933" s="3"/>
      <c r="Q933" s="3"/>
      <c r="T933" s="3"/>
    </row>
    <row r="934" spans="8:20" ht="14.25" customHeight="1">
      <c r="H934" s="2"/>
      <c r="K934" s="2"/>
      <c r="P934" s="3"/>
      <c r="Q934" s="3"/>
      <c r="T934" s="3"/>
    </row>
    <row r="935" spans="8:20" ht="14.25" customHeight="1">
      <c r="H935" s="2"/>
      <c r="K935" s="2"/>
      <c r="P935" s="3"/>
      <c r="Q935" s="3"/>
      <c r="T935" s="3"/>
    </row>
    <row r="936" spans="8:20" ht="14.25" customHeight="1">
      <c r="H936" s="2"/>
      <c r="K936" s="2"/>
      <c r="P936" s="3"/>
      <c r="Q936" s="3"/>
      <c r="T936" s="3"/>
    </row>
    <row r="937" spans="8:20" ht="14.25" customHeight="1">
      <c r="H937" s="2"/>
      <c r="K937" s="2"/>
      <c r="P937" s="3"/>
      <c r="Q937" s="3"/>
      <c r="T937" s="3"/>
    </row>
    <row r="938" spans="8:20" ht="14.25" customHeight="1">
      <c r="H938" s="2"/>
      <c r="K938" s="2"/>
      <c r="P938" s="3"/>
      <c r="Q938" s="3"/>
      <c r="T938" s="3"/>
    </row>
    <row r="939" spans="8:20" ht="14.25" customHeight="1">
      <c r="H939" s="2"/>
      <c r="K939" s="2"/>
      <c r="P939" s="3"/>
      <c r="Q939" s="3"/>
      <c r="T939" s="3"/>
    </row>
    <row r="940" spans="8:20" ht="14.25" customHeight="1">
      <c r="H940" s="2"/>
      <c r="K940" s="2"/>
      <c r="P940" s="3"/>
      <c r="Q940" s="3"/>
      <c r="T940" s="3"/>
    </row>
    <row r="941" spans="8:20" ht="14.25" customHeight="1">
      <c r="H941" s="2"/>
      <c r="K941" s="2"/>
      <c r="P941" s="3"/>
      <c r="Q941" s="3"/>
      <c r="T941" s="3"/>
    </row>
    <row r="942" spans="8:20" ht="14.25" customHeight="1">
      <c r="H942" s="2"/>
      <c r="K942" s="2"/>
      <c r="P942" s="3"/>
      <c r="Q942" s="3"/>
      <c r="T942" s="3"/>
    </row>
    <row r="943" spans="8:20" ht="14.25" customHeight="1">
      <c r="H943" s="2"/>
      <c r="K943" s="2"/>
      <c r="P943" s="3"/>
      <c r="Q943" s="3"/>
      <c r="T943" s="3"/>
    </row>
    <row r="944" spans="8:20" ht="14.25" customHeight="1">
      <c r="H944" s="2"/>
      <c r="K944" s="2"/>
      <c r="P944" s="3"/>
      <c r="Q944" s="3"/>
      <c r="T944" s="3"/>
    </row>
    <row r="945" spans="8:20" ht="14.25" customHeight="1">
      <c r="H945" s="2"/>
      <c r="K945" s="2"/>
      <c r="P945" s="3"/>
      <c r="Q945" s="3"/>
      <c r="T945" s="3"/>
    </row>
    <row r="946" spans="8:20" ht="14.25" customHeight="1">
      <c r="H946" s="2"/>
      <c r="K946" s="2"/>
      <c r="P946" s="3"/>
      <c r="Q946" s="3"/>
      <c r="T946" s="3"/>
    </row>
    <row r="947" spans="8:20" ht="14.25" customHeight="1">
      <c r="H947" s="2"/>
      <c r="K947" s="2"/>
      <c r="P947" s="3"/>
      <c r="Q947" s="3"/>
      <c r="T947" s="3"/>
    </row>
    <row r="948" spans="8:20" ht="14.25" customHeight="1">
      <c r="H948" s="2"/>
      <c r="K948" s="2"/>
      <c r="P948" s="3"/>
      <c r="Q948" s="3"/>
      <c r="T948" s="3"/>
    </row>
    <row r="949" spans="8:20" ht="14.25" customHeight="1">
      <c r="H949" s="2"/>
      <c r="K949" s="2"/>
      <c r="P949" s="3"/>
      <c r="Q949" s="3"/>
      <c r="T949" s="3"/>
    </row>
    <row r="950" spans="8:20" ht="14.25" customHeight="1">
      <c r="H950" s="2"/>
      <c r="K950" s="2"/>
      <c r="P950" s="3"/>
      <c r="Q950" s="3"/>
      <c r="T950" s="3"/>
    </row>
    <row r="951" spans="8:20" ht="14.25" customHeight="1">
      <c r="H951" s="2"/>
      <c r="K951" s="2"/>
      <c r="P951" s="3"/>
      <c r="Q951" s="3"/>
      <c r="T951" s="3"/>
    </row>
    <row r="952" spans="8:20" ht="14.25" customHeight="1">
      <c r="H952" s="2"/>
      <c r="K952" s="2"/>
      <c r="P952" s="3"/>
      <c r="Q952" s="3"/>
      <c r="T952" s="3"/>
    </row>
    <row r="953" spans="8:20" ht="14.25" customHeight="1">
      <c r="H953" s="2"/>
      <c r="K953" s="2"/>
      <c r="P953" s="3"/>
      <c r="Q953" s="3"/>
      <c r="T953" s="3"/>
    </row>
    <row r="954" spans="8:20" ht="14.25" customHeight="1">
      <c r="H954" s="2"/>
      <c r="K954" s="2"/>
      <c r="P954" s="3"/>
      <c r="Q954" s="3"/>
      <c r="T954" s="3"/>
    </row>
    <row r="955" spans="8:20" ht="14.25" customHeight="1">
      <c r="H955" s="2"/>
      <c r="K955" s="2"/>
      <c r="P955" s="3"/>
      <c r="Q955" s="3"/>
      <c r="T955" s="3"/>
    </row>
    <row r="956" spans="8:20" ht="14.25" customHeight="1">
      <c r="H956" s="2"/>
      <c r="K956" s="2"/>
      <c r="P956" s="3"/>
      <c r="Q956" s="3"/>
      <c r="T956" s="3"/>
    </row>
    <row r="957" spans="8:20" ht="14.25" customHeight="1">
      <c r="H957" s="2"/>
      <c r="K957" s="2"/>
      <c r="P957" s="3"/>
      <c r="Q957" s="3"/>
      <c r="T957" s="3"/>
    </row>
    <row r="958" spans="8:20" ht="14.25" customHeight="1">
      <c r="H958" s="2"/>
      <c r="K958" s="2"/>
      <c r="P958" s="3"/>
      <c r="Q958" s="3"/>
      <c r="T958" s="3"/>
    </row>
    <row r="959" spans="8:20" ht="14.25" customHeight="1">
      <c r="H959" s="2"/>
      <c r="K959" s="2"/>
      <c r="P959" s="3"/>
      <c r="Q959" s="3"/>
      <c r="T959" s="3"/>
    </row>
    <row r="960" spans="8:20" ht="14.25" customHeight="1">
      <c r="H960" s="2"/>
      <c r="K960" s="2"/>
      <c r="P960" s="3"/>
      <c r="Q960" s="3"/>
      <c r="T960" s="3"/>
    </row>
    <row r="961" spans="8:20" ht="14.25" customHeight="1">
      <c r="H961" s="2"/>
      <c r="K961" s="2"/>
      <c r="P961" s="3"/>
      <c r="Q961" s="3"/>
      <c r="T961" s="3"/>
    </row>
    <row r="962" spans="8:20" ht="14.25" customHeight="1">
      <c r="H962" s="2"/>
      <c r="K962" s="2"/>
      <c r="P962" s="3"/>
      <c r="Q962" s="3"/>
      <c r="T962" s="3"/>
    </row>
    <row r="963" spans="8:20" ht="14.25" customHeight="1">
      <c r="H963" s="2"/>
      <c r="K963" s="2"/>
      <c r="P963" s="3"/>
      <c r="Q963" s="3"/>
      <c r="T963" s="3"/>
    </row>
    <row r="964" spans="8:20" ht="14.25" customHeight="1">
      <c r="H964" s="2"/>
      <c r="K964" s="2"/>
      <c r="P964" s="3"/>
      <c r="Q964" s="3"/>
      <c r="T964" s="3"/>
    </row>
    <row r="965" spans="8:20" ht="14.25" customHeight="1">
      <c r="H965" s="2"/>
      <c r="K965" s="2"/>
      <c r="P965" s="3"/>
      <c r="Q965" s="3"/>
      <c r="T965" s="3"/>
    </row>
    <row r="966" spans="8:20" ht="14.25" customHeight="1">
      <c r="H966" s="2"/>
      <c r="K966" s="2"/>
      <c r="P966" s="3"/>
      <c r="Q966" s="3"/>
      <c r="T966" s="3"/>
    </row>
    <row r="967" spans="8:20" ht="14.25" customHeight="1">
      <c r="H967" s="2"/>
      <c r="K967" s="2"/>
      <c r="P967" s="3"/>
      <c r="Q967" s="3"/>
      <c r="T967" s="3"/>
    </row>
    <row r="968" spans="8:20" ht="14.25" customHeight="1">
      <c r="H968" s="2"/>
      <c r="K968" s="2"/>
      <c r="P968" s="3"/>
      <c r="Q968" s="3"/>
      <c r="T968" s="3"/>
    </row>
    <row r="969" spans="8:20" ht="14.25" customHeight="1">
      <c r="H969" s="2"/>
      <c r="K969" s="2"/>
      <c r="P969" s="3"/>
      <c r="Q969" s="3"/>
      <c r="T969" s="3"/>
    </row>
    <row r="970" spans="8:20" ht="14.25" customHeight="1">
      <c r="H970" s="2"/>
      <c r="K970" s="2"/>
      <c r="P970" s="3"/>
      <c r="Q970" s="3"/>
      <c r="T970" s="3"/>
    </row>
    <row r="971" spans="8:20" ht="14.25" customHeight="1">
      <c r="H971" s="2"/>
      <c r="K971" s="2"/>
      <c r="P971" s="3"/>
      <c r="Q971" s="3"/>
      <c r="T971" s="3"/>
    </row>
    <row r="972" spans="8:20" ht="14.25" customHeight="1">
      <c r="H972" s="2"/>
      <c r="K972" s="2"/>
      <c r="P972" s="3"/>
      <c r="Q972" s="3"/>
      <c r="T972" s="3"/>
    </row>
    <row r="973" spans="8:20" ht="14.25" customHeight="1">
      <c r="H973" s="2"/>
      <c r="K973" s="2"/>
      <c r="P973" s="3"/>
      <c r="Q973" s="3"/>
      <c r="T973" s="3"/>
    </row>
    <row r="974" spans="8:20" ht="14.25" customHeight="1">
      <c r="H974" s="2"/>
      <c r="K974" s="2"/>
      <c r="P974" s="3"/>
      <c r="Q974" s="3"/>
      <c r="T974" s="3"/>
    </row>
    <row r="975" spans="8:20" ht="14.25" customHeight="1">
      <c r="H975" s="2"/>
      <c r="K975" s="2"/>
      <c r="P975" s="3"/>
      <c r="Q975" s="3"/>
      <c r="T975" s="3"/>
    </row>
    <row r="976" spans="8:20" ht="14.25" customHeight="1">
      <c r="H976" s="2"/>
      <c r="K976" s="2"/>
      <c r="P976" s="3"/>
      <c r="Q976" s="3"/>
      <c r="T976" s="3"/>
    </row>
    <row r="977" spans="8:20" ht="14.25" customHeight="1">
      <c r="H977" s="2"/>
      <c r="K977" s="2"/>
      <c r="P977" s="3"/>
      <c r="Q977" s="3"/>
      <c r="T977" s="3"/>
    </row>
    <row r="978" spans="8:20" ht="14.25" customHeight="1">
      <c r="H978" s="2"/>
      <c r="K978" s="2"/>
      <c r="P978" s="3"/>
      <c r="Q978" s="3"/>
      <c r="T978" s="3"/>
    </row>
    <row r="979" spans="8:20" ht="14.25" customHeight="1">
      <c r="H979" s="2"/>
      <c r="K979" s="2"/>
      <c r="P979" s="3"/>
      <c r="Q979" s="3"/>
      <c r="T979" s="3"/>
    </row>
    <row r="980" spans="8:20" ht="14.25" customHeight="1">
      <c r="H980" s="2"/>
      <c r="K980" s="2"/>
      <c r="P980" s="3"/>
      <c r="Q980" s="3"/>
      <c r="T980" s="3"/>
    </row>
    <row r="981" spans="8:20" ht="14.25" customHeight="1">
      <c r="H981" s="2"/>
      <c r="K981" s="2"/>
      <c r="P981" s="3"/>
      <c r="Q981" s="3"/>
      <c r="T981" s="3"/>
    </row>
    <row r="982" spans="8:20" ht="14.25" customHeight="1">
      <c r="H982" s="2"/>
      <c r="K982" s="2"/>
      <c r="P982" s="3"/>
      <c r="Q982" s="3"/>
      <c r="T982" s="3"/>
    </row>
    <row r="983" spans="8:20" ht="14.25" customHeight="1">
      <c r="H983" s="2"/>
      <c r="K983" s="2"/>
      <c r="P983" s="3"/>
      <c r="Q983" s="3"/>
      <c r="T983" s="3"/>
    </row>
    <row r="984" spans="8:20" ht="14.25" customHeight="1">
      <c r="H984" s="2"/>
      <c r="K984" s="2"/>
      <c r="P984" s="3"/>
      <c r="Q984" s="3"/>
      <c r="T984" s="3"/>
    </row>
    <row r="985" spans="8:20" ht="14.25" customHeight="1">
      <c r="H985" s="2"/>
      <c r="K985" s="2"/>
      <c r="P985" s="3"/>
      <c r="Q985" s="3"/>
      <c r="T985" s="3"/>
    </row>
    <row r="986" spans="8:20" ht="14.25" customHeight="1">
      <c r="H986" s="2"/>
      <c r="K986" s="2"/>
      <c r="P986" s="3"/>
      <c r="Q986" s="3"/>
      <c r="T986" s="3"/>
    </row>
    <row r="987" spans="8:20" ht="14.25" customHeight="1">
      <c r="H987" s="2"/>
      <c r="K987" s="2"/>
      <c r="P987" s="3"/>
      <c r="Q987" s="3"/>
      <c r="T987" s="3"/>
    </row>
    <row r="988" spans="8:20" ht="14.25" customHeight="1">
      <c r="H988" s="2"/>
      <c r="K988" s="2"/>
      <c r="P988" s="3"/>
      <c r="Q988" s="3"/>
      <c r="T988" s="3"/>
    </row>
    <row r="989" spans="8:20" ht="14.25" customHeight="1">
      <c r="H989" s="2"/>
      <c r="K989" s="2"/>
      <c r="P989" s="3"/>
      <c r="Q989" s="3"/>
      <c r="T989" s="3"/>
    </row>
    <row r="990" spans="8:20" ht="14.25" customHeight="1">
      <c r="H990" s="2"/>
      <c r="K990" s="2"/>
      <c r="P990" s="3"/>
      <c r="Q990" s="3"/>
      <c r="T990" s="3"/>
    </row>
    <row r="991" spans="8:20" ht="14.25" customHeight="1">
      <c r="H991" s="2"/>
      <c r="K991" s="2"/>
      <c r="P991" s="3"/>
      <c r="Q991" s="3"/>
      <c r="T991" s="3"/>
    </row>
    <row r="992" spans="8:20" ht="14.25" customHeight="1">
      <c r="H992" s="2"/>
      <c r="K992" s="2"/>
      <c r="P992" s="3"/>
      <c r="Q992" s="3"/>
      <c r="T992" s="3"/>
    </row>
    <row r="993" spans="8:20" ht="14.25" customHeight="1">
      <c r="H993" s="2"/>
      <c r="K993" s="2"/>
      <c r="P993" s="3"/>
      <c r="Q993" s="3"/>
      <c r="T993" s="3"/>
    </row>
    <row r="994" spans="8:20" ht="14.25" customHeight="1">
      <c r="H994" s="2"/>
      <c r="K994" s="2"/>
      <c r="P994" s="3"/>
      <c r="Q994" s="3"/>
      <c r="T994" s="3"/>
    </row>
    <row r="995" spans="8:20" ht="14.25" customHeight="1">
      <c r="H995" s="2"/>
      <c r="K995" s="2"/>
      <c r="P995" s="3"/>
      <c r="Q995" s="3"/>
      <c r="T995" s="3"/>
    </row>
    <row r="996" spans="8:20" ht="14.25" customHeight="1">
      <c r="H996" s="2"/>
      <c r="K996" s="2"/>
      <c r="P996" s="3"/>
      <c r="Q996" s="3"/>
      <c r="T996" s="3"/>
    </row>
    <row r="997" spans="8:20" ht="14.25" customHeight="1">
      <c r="H997" s="2"/>
      <c r="K997" s="2"/>
      <c r="P997" s="3"/>
      <c r="Q997" s="3"/>
      <c r="T997" s="3"/>
    </row>
    <row r="998" spans="8:20" ht="14.25" customHeight="1">
      <c r="H998" s="2"/>
      <c r="K998" s="2"/>
      <c r="P998" s="3"/>
      <c r="Q998" s="3"/>
      <c r="T998" s="3"/>
    </row>
    <row r="999" spans="8:20" ht="14.25" customHeight="1">
      <c r="H999" s="2"/>
      <c r="K999" s="2"/>
      <c r="P999" s="3"/>
      <c r="Q999" s="3"/>
      <c r="T999" s="3"/>
    </row>
    <row r="1000" spans="8:20" ht="14.25" customHeight="1">
      <c r="H1000" s="2"/>
      <c r="K1000" s="2"/>
      <c r="P1000" s="3"/>
      <c r="Q1000" s="3"/>
      <c r="T1000" s="3"/>
    </row>
    <row r="1001" spans="8:20" ht="14.25" customHeight="1">
      <c r="H1001" s="2"/>
      <c r="K1001" s="2"/>
      <c r="P1001" s="3"/>
      <c r="Q1001" s="3"/>
      <c r="T1001" s="3"/>
    </row>
    <row r="1002" spans="8:20" ht="14.25" customHeight="1">
      <c r="H1002" s="2"/>
      <c r="K1002" s="2"/>
      <c r="P1002" s="3"/>
      <c r="Q1002" s="3"/>
      <c r="T1002" s="3"/>
    </row>
    <row r="1003" spans="8:20" ht="14.25" customHeight="1">
      <c r="H1003" s="2"/>
      <c r="K1003" s="2"/>
      <c r="P1003" s="3"/>
      <c r="Q1003" s="3"/>
      <c r="T1003" s="3"/>
    </row>
    <row r="1004" spans="8:20" ht="14.25" customHeight="1">
      <c r="H1004" s="2"/>
      <c r="K1004" s="2"/>
      <c r="P1004" s="3"/>
      <c r="Q1004" s="3"/>
      <c r="T1004" s="3"/>
    </row>
    <row r="1005" spans="8:20" ht="14.25" customHeight="1">
      <c r="H1005" s="2"/>
      <c r="K1005" s="2"/>
      <c r="P1005" s="3"/>
      <c r="Q1005" s="3"/>
      <c r="T1005" s="3"/>
    </row>
    <row r="1006" spans="8:20" ht="14.25" customHeight="1">
      <c r="H1006" s="2"/>
      <c r="K1006" s="2"/>
      <c r="P1006" s="3"/>
      <c r="Q1006" s="3"/>
      <c r="T1006" s="3"/>
    </row>
    <row r="1007" spans="8:20" ht="14.25" customHeight="1">
      <c r="H1007" s="2"/>
      <c r="K1007" s="2"/>
      <c r="P1007" s="3"/>
      <c r="Q1007" s="3"/>
      <c r="T1007" s="3"/>
    </row>
    <row r="1008" spans="8:20" ht="14.25" customHeight="1">
      <c r="H1008" s="2"/>
      <c r="K1008" s="2"/>
      <c r="P1008" s="3"/>
      <c r="Q1008" s="3"/>
      <c r="T1008" s="3"/>
    </row>
    <row r="1009" spans="8:20" ht="14.25" customHeight="1">
      <c r="H1009" s="2"/>
      <c r="K1009" s="2"/>
      <c r="P1009" s="3"/>
      <c r="Q1009" s="3"/>
      <c r="T1009" s="3"/>
    </row>
    <row r="1010" spans="8:20" ht="14.25" customHeight="1">
      <c r="H1010" s="2"/>
      <c r="K1010" s="2"/>
      <c r="P1010" s="3"/>
      <c r="Q1010" s="3"/>
      <c r="T1010" s="3"/>
    </row>
    <row r="1011" spans="8:20" ht="14.25" customHeight="1">
      <c r="H1011" s="2"/>
      <c r="K1011" s="2"/>
      <c r="P1011" s="3"/>
      <c r="Q1011" s="3"/>
      <c r="T1011" s="3"/>
    </row>
    <row r="1012" spans="8:20" ht="14.25" customHeight="1">
      <c r="H1012" s="2"/>
      <c r="K1012" s="2"/>
      <c r="P1012" s="3"/>
      <c r="Q1012" s="3"/>
      <c r="T1012" s="3"/>
    </row>
    <row r="1013" spans="8:20" ht="14.25" customHeight="1">
      <c r="H1013" s="2"/>
      <c r="K1013" s="2"/>
      <c r="P1013" s="3"/>
      <c r="Q1013" s="3"/>
      <c r="T1013" s="3"/>
    </row>
    <row r="1014" spans="8:20" ht="14.25" customHeight="1">
      <c r="H1014" s="2"/>
      <c r="K1014" s="2"/>
      <c r="P1014" s="3"/>
      <c r="Q1014" s="3"/>
      <c r="T1014" s="3"/>
    </row>
    <row r="1015" spans="8:20" ht="14.25" customHeight="1">
      <c r="H1015" s="2"/>
      <c r="K1015" s="2"/>
      <c r="P1015" s="3"/>
      <c r="Q1015" s="3"/>
      <c r="T1015" s="3"/>
    </row>
    <row r="1016" spans="8:20" ht="14.25" customHeight="1">
      <c r="H1016" s="2"/>
      <c r="K1016" s="2"/>
      <c r="P1016" s="3"/>
      <c r="Q1016" s="3"/>
      <c r="T1016" s="3"/>
    </row>
    <row r="1017" spans="8:20" ht="14.25" customHeight="1">
      <c r="H1017" s="2"/>
      <c r="K1017" s="2"/>
      <c r="P1017" s="3"/>
      <c r="Q1017" s="3"/>
      <c r="T1017" s="3"/>
    </row>
    <row r="1018" spans="8:20" ht="14.25" customHeight="1">
      <c r="H1018" s="2"/>
      <c r="K1018" s="2"/>
      <c r="P1018" s="3"/>
      <c r="Q1018" s="3"/>
      <c r="T1018" s="3"/>
    </row>
    <row r="1019" spans="8:20" ht="14.25" customHeight="1">
      <c r="H1019" s="2"/>
      <c r="K1019" s="2"/>
      <c r="P1019" s="3"/>
      <c r="Q1019" s="3"/>
      <c r="T1019" s="3"/>
    </row>
    <row r="1020" spans="8:20" ht="14.25" customHeight="1">
      <c r="H1020" s="2"/>
      <c r="K1020" s="2"/>
      <c r="P1020" s="3"/>
      <c r="Q1020" s="3"/>
      <c r="T1020" s="3"/>
    </row>
    <row r="1021" spans="8:20" ht="14.25" customHeight="1">
      <c r="H1021" s="2"/>
      <c r="K1021" s="2"/>
      <c r="P1021" s="3"/>
      <c r="Q1021" s="3"/>
      <c r="T1021" s="3"/>
    </row>
    <row r="1022" spans="8:20" ht="14.25" customHeight="1">
      <c r="H1022" s="2"/>
      <c r="K1022" s="2"/>
      <c r="P1022" s="3"/>
      <c r="Q1022" s="3"/>
      <c r="T1022" s="3"/>
    </row>
    <row r="1023" spans="8:20" ht="14.25" customHeight="1">
      <c r="H1023" s="2"/>
      <c r="K1023" s="2"/>
      <c r="P1023" s="3"/>
      <c r="Q1023" s="3"/>
      <c r="T1023" s="3"/>
    </row>
    <row r="1024" spans="8:20" ht="14.25" customHeight="1">
      <c r="H1024" s="2"/>
      <c r="K1024" s="2"/>
      <c r="P1024" s="3"/>
      <c r="Q1024" s="3"/>
      <c r="T1024" s="3"/>
    </row>
    <row r="1025" spans="8:20" ht="14.25" customHeight="1">
      <c r="H1025" s="2"/>
      <c r="K1025" s="2"/>
      <c r="P1025" s="3"/>
      <c r="Q1025" s="3"/>
      <c r="T1025" s="3"/>
    </row>
    <row r="1026" spans="8:20" ht="14.25" customHeight="1">
      <c r="H1026" s="2"/>
      <c r="K1026" s="2"/>
      <c r="P1026" s="3"/>
      <c r="Q1026" s="3"/>
      <c r="T1026" s="3"/>
    </row>
    <row r="1027" spans="8:20" ht="14.25" customHeight="1">
      <c r="H1027" s="2"/>
      <c r="K1027" s="2"/>
      <c r="P1027" s="3"/>
      <c r="Q1027" s="3"/>
      <c r="T1027" s="3"/>
    </row>
    <row r="1028" spans="8:20" ht="14.25" customHeight="1">
      <c r="H1028" s="2"/>
      <c r="K1028" s="2"/>
      <c r="P1028" s="3"/>
      <c r="Q1028" s="3"/>
      <c r="T1028" s="3"/>
    </row>
    <row r="1029" spans="8:20" ht="14.25" customHeight="1">
      <c r="H1029" s="2"/>
      <c r="K1029" s="2"/>
      <c r="P1029" s="3"/>
      <c r="Q1029" s="3"/>
      <c r="T1029" s="3"/>
    </row>
    <row r="1030" spans="8:20" ht="14.25" customHeight="1">
      <c r="H1030" s="2"/>
      <c r="K1030" s="2"/>
      <c r="P1030" s="3"/>
      <c r="Q1030" s="3"/>
      <c r="T1030" s="3"/>
    </row>
    <row r="1031" spans="8:20" ht="14.25" customHeight="1">
      <c r="H1031" s="2"/>
      <c r="K1031" s="2"/>
      <c r="P1031" s="3"/>
      <c r="Q1031" s="3"/>
      <c r="T1031" s="3"/>
    </row>
    <row r="1032" spans="8:20" ht="14.25" customHeight="1">
      <c r="H1032" s="2"/>
      <c r="K1032" s="2"/>
      <c r="P1032" s="3"/>
      <c r="Q1032" s="3"/>
      <c r="T1032" s="3"/>
    </row>
    <row r="1033" spans="8:20" ht="14.25" customHeight="1">
      <c r="H1033" s="2"/>
      <c r="K1033" s="2"/>
      <c r="P1033" s="3"/>
      <c r="Q1033" s="3"/>
      <c r="T1033" s="3"/>
    </row>
    <row r="1034" spans="8:20" ht="14.25" customHeight="1">
      <c r="H1034" s="2"/>
      <c r="K1034" s="2"/>
      <c r="P1034" s="3"/>
      <c r="Q1034" s="3"/>
      <c r="T1034" s="3"/>
    </row>
    <row r="1035" spans="8:20" ht="14.25" customHeight="1">
      <c r="H1035" s="2"/>
      <c r="K1035" s="2"/>
      <c r="P1035" s="3"/>
      <c r="Q1035" s="3"/>
      <c r="T1035" s="3"/>
    </row>
    <row r="1036" spans="8:20" ht="14.25" customHeight="1">
      <c r="H1036" s="2"/>
      <c r="K1036" s="2"/>
      <c r="P1036" s="3"/>
      <c r="Q1036" s="3"/>
      <c r="T1036" s="3"/>
    </row>
    <row r="1037" spans="8:20" ht="14.25" customHeight="1">
      <c r="H1037" s="2"/>
      <c r="K1037" s="2"/>
      <c r="P1037" s="3"/>
      <c r="Q1037" s="3"/>
      <c r="T1037" s="3"/>
    </row>
    <row r="1038" spans="8:20" ht="14.25" customHeight="1">
      <c r="H1038" s="2"/>
      <c r="K1038" s="2"/>
      <c r="P1038" s="3"/>
      <c r="Q1038" s="3"/>
      <c r="T1038" s="3"/>
    </row>
    <row r="1039" spans="8:20" ht="14.25" customHeight="1">
      <c r="H1039" s="2"/>
      <c r="K1039" s="2"/>
      <c r="P1039" s="3"/>
      <c r="Q1039" s="3"/>
      <c r="T1039" s="3"/>
    </row>
    <row r="1040" spans="8:20" ht="14.25" customHeight="1">
      <c r="H1040" s="2"/>
      <c r="K1040" s="2"/>
      <c r="P1040" s="3"/>
      <c r="Q1040" s="3"/>
      <c r="T1040" s="3"/>
    </row>
    <row r="1041" spans="8:20" ht="14.25" customHeight="1">
      <c r="H1041" s="2"/>
      <c r="K1041" s="2"/>
      <c r="P1041" s="3"/>
      <c r="Q1041" s="3"/>
      <c r="T1041" s="3"/>
    </row>
    <row r="1042" spans="8:20" ht="14.25" customHeight="1">
      <c r="H1042" s="2"/>
      <c r="K1042" s="2"/>
      <c r="P1042" s="3"/>
      <c r="Q1042" s="3"/>
      <c r="T1042" s="3"/>
    </row>
    <row r="1043" spans="8:20" ht="14.25" customHeight="1">
      <c r="H1043" s="2"/>
      <c r="K1043" s="2"/>
      <c r="P1043" s="3"/>
      <c r="Q1043" s="3"/>
      <c r="T1043" s="3"/>
    </row>
    <row r="1044" spans="8:20" ht="14.25" customHeight="1">
      <c r="H1044" s="2"/>
      <c r="K1044" s="2"/>
      <c r="P1044" s="3"/>
      <c r="Q1044" s="3"/>
      <c r="T1044" s="3"/>
    </row>
    <row r="1045" spans="8:20" ht="14.25" customHeight="1">
      <c r="H1045" s="2"/>
      <c r="K1045" s="2"/>
      <c r="P1045" s="3"/>
      <c r="Q1045" s="3"/>
      <c r="T1045" s="3"/>
    </row>
    <row r="1046" spans="8:20" ht="14.25" customHeight="1">
      <c r="H1046" s="2"/>
      <c r="K1046" s="2"/>
      <c r="P1046" s="3"/>
      <c r="Q1046" s="3"/>
      <c r="T1046" s="3"/>
    </row>
    <row r="1047" spans="8:20" ht="14.25" customHeight="1">
      <c r="H1047" s="2"/>
      <c r="K1047" s="2"/>
      <c r="P1047" s="3"/>
      <c r="Q1047" s="3"/>
      <c r="T1047" s="3"/>
    </row>
    <row r="1048" spans="8:20" ht="14.25" customHeight="1">
      <c r="H1048" s="2"/>
      <c r="K1048" s="2"/>
      <c r="P1048" s="3"/>
      <c r="Q1048" s="3"/>
      <c r="T1048" s="3"/>
    </row>
    <row r="1049" spans="8:20" ht="14.25" customHeight="1">
      <c r="H1049" s="2"/>
      <c r="K1049" s="2"/>
      <c r="P1049" s="3"/>
      <c r="Q1049" s="3"/>
      <c r="T1049" s="3"/>
    </row>
    <row r="1050" spans="8:20" ht="14.25" customHeight="1">
      <c r="H1050" s="2"/>
      <c r="K1050" s="2"/>
      <c r="P1050" s="3"/>
      <c r="Q1050" s="3"/>
      <c r="T1050" s="3"/>
    </row>
    <row r="1051" spans="8:20" ht="14.25" customHeight="1">
      <c r="H1051" s="2"/>
      <c r="K1051" s="2"/>
      <c r="P1051" s="3"/>
      <c r="Q1051" s="3"/>
      <c r="T1051" s="3"/>
    </row>
    <row r="1052" spans="8:20" ht="14.25" customHeight="1">
      <c r="H1052" s="2"/>
      <c r="K1052" s="2"/>
      <c r="P1052" s="3"/>
      <c r="Q1052" s="3"/>
      <c r="T1052" s="3"/>
    </row>
    <row r="1053" spans="8:20" ht="14.25" customHeight="1">
      <c r="H1053" s="2"/>
      <c r="K1053" s="2"/>
      <c r="P1053" s="3"/>
      <c r="Q1053" s="3"/>
      <c r="T1053" s="3"/>
    </row>
    <row r="1054" spans="8:20" ht="14.25" customHeight="1">
      <c r="H1054" s="2"/>
      <c r="K1054" s="2"/>
      <c r="P1054" s="3"/>
      <c r="Q1054" s="3"/>
      <c r="T1054" s="3"/>
    </row>
    <row r="1055" spans="8:20" ht="14.25" customHeight="1">
      <c r="H1055" s="2"/>
      <c r="K1055" s="2"/>
      <c r="P1055" s="3"/>
      <c r="Q1055" s="3"/>
      <c r="T1055" s="3"/>
    </row>
    <row r="1056" spans="8:20" ht="14.25" customHeight="1">
      <c r="H1056" s="2"/>
      <c r="K1056" s="2"/>
      <c r="P1056" s="3"/>
      <c r="Q1056" s="3"/>
      <c r="T1056" s="3"/>
    </row>
    <row r="1057" spans="8:20" ht="14.25" customHeight="1">
      <c r="H1057" s="2"/>
      <c r="K1057" s="2"/>
      <c r="P1057" s="3"/>
      <c r="Q1057" s="3"/>
      <c r="T1057" s="3"/>
    </row>
    <row r="1058" spans="8:20" ht="14.25" customHeight="1">
      <c r="H1058" s="2"/>
      <c r="K1058" s="2"/>
      <c r="P1058" s="3"/>
      <c r="Q1058" s="3"/>
      <c r="T1058" s="3"/>
    </row>
    <row r="1059" spans="8:20" ht="14.25" customHeight="1">
      <c r="H1059" s="2"/>
      <c r="K1059" s="2"/>
      <c r="P1059" s="3"/>
      <c r="Q1059" s="3"/>
      <c r="T1059" s="3"/>
    </row>
    <row r="1060" spans="8:20" ht="14.25" customHeight="1">
      <c r="H1060" s="2"/>
      <c r="K1060" s="2"/>
      <c r="P1060" s="3"/>
      <c r="Q1060" s="3"/>
      <c r="T1060" s="3"/>
    </row>
    <row r="1061" spans="8:20" ht="14.25" customHeight="1">
      <c r="H1061" s="2"/>
      <c r="K1061" s="2"/>
      <c r="P1061" s="3"/>
      <c r="Q1061" s="3"/>
      <c r="T1061" s="3"/>
    </row>
    <row r="1062" spans="8:20" ht="14.25" customHeight="1">
      <c r="H1062" s="2"/>
      <c r="K1062" s="2"/>
      <c r="P1062" s="3"/>
      <c r="Q1062" s="3"/>
      <c r="T1062" s="3"/>
    </row>
    <row r="1063" spans="8:20" ht="14.25" customHeight="1">
      <c r="H1063" s="2"/>
      <c r="K1063" s="2"/>
      <c r="P1063" s="3"/>
      <c r="Q1063" s="3"/>
      <c r="T1063" s="3"/>
    </row>
    <row r="1064" spans="8:20" ht="14.25" customHeight="1">
      <c r="H1064" s="2"/>
      <c r="K1064" s="2"/>
      <c r="P1064" s="3"/>
      <c r="Q1064" s="3"/>
      <c r="T1064" s="3"/>
    </row>
    <row r="1065" spans="8:20" ht="14.25" customHeight="1">
      <c r="H1065" s="2"/>
      <c r="K1065" s="2"/>
      <c r="P1065" s="3"/>
      <c r="Q1065" s="3"/>
      <c r="T1065" s="3"/>
    </row>
    <row r="1066" spans="8:20" ht="14.25" customHeight="1">
      <c r="H1066" s="2"/>
      <c r="K1066" s="2"/>
      <c r="P1066" s="3"/>
      <c r="Q1066" s="3"/>
      <c r="T1066" s="3"/>
    </row>
    <row r="1067" spans="8:20" ht="14.25" customHeight="1">
      <c r="H1067" s="2"/>
      <c r="K1067" s="2"/>
      <c r="P1067" s="3"/>
      <c r="Q1067" s="3"/>
      <c r="T1067" s="3"/>
    </row>
    <row r="1068" spans="8:20" ht="14.25" customHeight="1">
      <c r="H1068" s="2"/>
      <c r="K1068" s="2"/>
      <c r="P1068" s="3"/>
      <c r="Q1068" s="3"/>
      <c r="T1068" s="3"/>
    </row>
    <row r="1069" spans="8:20" ht="14.25" customHeight="1">
      <c r="H1069" s="2"/>
      <c r="K1069" s="2"/>
      <c r="P1069" s="3"/>
      <c r="Q1069" s="3"/>
      <c r="T1069" s="3"/>
    </row>
    <row r="1070" spans="8:20" ht="14.25" customHeight="1">
      <c r="H1070" s="2"/>
      <c r="K1070" s="2"/>
      <c r="P1070" s="3"/>
      <c r="Q1070" s="3"/>
      <c r="T1070" s="3"/>
    </row>
    <row r="1071" spans="8:20" ht="14.25" customHeight="1">
      <c r="H1071" s="2"/>
      <c r="K1071" s="2"/>
      <c r="P1071" s="3"/>
      <c r="Q1071" s="3"/>
      <c r="T1071" s="3"/>
    </row>
    <row r="1072" spans="8:20" ht="14.25" customHeight="1">
      <c r="H1072" s="2"/>
      <c r="K1072" s="2"/>
      <c r="P1072" s="3"/>
      <c r="Q1072" s="3"/>
      <c r="T1072" s="3"/>
    </row>
    <row r="1073" spans="8:20" ht="14.25" customHeight="1">
      <c r="H1073" s="2"/>
      <c r="K1073" s="2"/>
      <c r="P1073" s="3"/>
      <c r="Q1073" s="3"/>
      <c r="T1073" s="3"/>
    </row>
    <row r="1074" spans="8:20" ht="14.25" customHeight="1">
      <c r="H1074" s="2"/>
      <c r="K1074" s="2"/>
      <c r="P1074" s="3"/>
      <c r="Q1074" s="3"/>
      <c r="T1074" s="3"/>
    </row>
    <row r="1075" spans="8:20" ht="14.25" customHeight="1">
      <c r="H1075" s="2"/>
      <c r="K1075" s="2"/>
      <c r="P1075" s="3"/>
      <c r="Q1075" s="3"/>
      <c r="T1075" s="3"/>
    </row>
    <row r="1076" spans="8:20" ht="14.25" customHeight="1">
      <c r="H1076" s="2"/>
      <c r="K1076" s="2"/>
      <c r="P1076" s="3"/>
      <c r="Q1076" s="3"/>
      <c r="T1076" s="3"/>
    </row>
    <row r="1077" spans="8:20" ht="14.25" customHeight="1">
      <c r="H1077" s="2"/>
      <c r="K1077" s="2"/>
      <c r="P1077" s="3"/>
      <c r="Q1077" s="3"/>
      <c r="T1077" s="3"/>
    </row>
    <row r="1078" spans="8:20" ht="14.25" customHeight="1">
      <c r="H1078" s="2"/>
      <c r="K1078" s="2"/>
      <c r="P1078" s="3"/>
      <c r="Q1078" s="3"/>
      <c r="T1078" s="3"/>
    </row>
    <row r="1079" spans="8:20" ht="14.25" customHeight="1">
      <c r="H1079" s="2"/>
      <c r="K1079" s="2"/>
      <c r="P1079" s="3"/>
      <c r="Q1079" s="3"/>
      <c r="T1079" s="3"/>
    </row>
    <row r="1080" spans="8:20" ht="14.25" customHeight="1">
      <c r="H1080" s="2"/>
      <c r="K1080" s="2"/>
      <c r="P1080" s="3"/>
      <c r="Q1080" s="3"/>
      <c r="T1080" s="3"/>
    </row>
    <row r="1081" spans="8:20" ht="14.25" customHeight="1">
      <c r="H1081" s="2"/>
      <c r="K1081" s="2"/>
      <c r="P1081" s="3"/>
      <c r="Q1081" s="3"/>
      <c r="T1081" s="3"/>
    </row>
    <row r="1082" spans="8:20" ht="14.25" customHeight="1">
      <c r="H1082" s="2"/>
      <c r="K1082" s="2"/>
      <c r="P1082" s="3"/>
      <c r="Q1082" s="3"/>
      <c r="T1082" s="3"/>
    </row>
    <row r="1083" spans="8:20" ht="14.25" customHeight="1">
      <c r="H1083" s="2"/>
      <c r="K1083" s="2"/>
      <c r="P1083" s="3"/>
      <c r="Q1083" s="3"/>
      <c r="T1083" s="3"/>
    </row>
    <row r="1084" spans="8:20" ht="14.25" customHeight="1">
      <c r="H1084" s="2"/>
      <c r="K1084" s="2"/>
      <c r="P1084" s="3"/>
      <c r="Q1084" s="3"/>
      <c r="T1084" s="3"/>
    </row>
    <row r="1085" spans="8:20" ht="14.25" customHeight="1">
      <c r="H1085" s="2"/>
      <c r="K1085" s="2"/>
      <c r="P1085" s="3"/>
      <c r="Q1085" s="3"/>
      <c r="T1085" s="3"/>
    </row>
    <row r="1086" spans="8:20" ht="14.25" customHeight="1">
      <c r="H1086" s="2"/>
      <c r="K1086" s="2"/>
      <c r="P1086" s="3"/>
      <c r="Q1086" s="3"/>
      <c r="T1086" s="3"/>
    </row>
    <row r="1087" spans="8:20" ht="14.25" customHeight="1">
      <c r="H1087" s="2"/>
      <c r="K1087" s="2"/>
      <c r="P1087" s="3"/>
      <c r="Q1087" s="3"/>
      <c r="T1087" s="3"/>
    </row>
    <row r="1088" spans="8:20" ht="14.25" customHeight="1">
      <c r="H1088" s="2"/>
      <c r="K1088" s="2"/>
      <c r="P1088" s="3"/>
      <c r="Q1088" s="3"/>
      <c r="T1088" s="3"/>
    </row>
    <row r="1089" spans="8:20" ht="14.25" customHeight="1">
      <c r="H1089" s="2"/>
      <c r="K1089" s="2"/>
      <c r="P1089" s="3"/>
      <c r="Q1089" s="3"/>
      <c r="T1089" s="3"/>
    </row>
    <row r="1090" spans="8:20" ht="14.25" customHeight="1">
      <c r="H1090" s="2"/>
      <c r="K1090" s="2"/>
      <c r="P1090" s="3"/>
      <c r="Q1090" s="3"/>
      <c r="T1090" s="3"/>
    </row>
    <row r="1091" spans="8:20" ht="14.25" customHeight="1">
      <c r="H1091" s="2"/>
      <c r="K1091" s="2"/>
      <c r="P1091" s="3"/>
      <c r="Q1091" s="3"/>
      <c r="T1091" s="3"/>
    </row>
    <row r="1092" spans="8:20" ht="14.25" customHeight="1">
      <c r="H1092" s="2"/>
      <c r="K1092" s="2"/>
      <c r="P1092" s="3"/>
      <c r="Q1092" s="3"/>
      <c r="T1092" s="3"/>
    </row>
    <row r="1093" spans="8:20" ht="14.25" customHeight="1">
      <c r="H1093" s="2"/>
      <c r="K1093" s="2"/>
      <c r="P1093" s="3"/>
      <c r="Q1093" s="3"/>
      <c r="T1093" s="3"/>
    </row>
    <row r="1094" spans="8:20" ht="14.25" customHeight="1">
      <c r="H1094" s="2"/>
      <c r="K1094" s="2"/>
      <c r="P1094" s="3"/>
      <c r="Q1094" s="3"/>
      <c r="T1094" s="3"/>
    </row>
    <row r="1095" spans="8:20" ht="14.25" customHeight="1">
      <c r="H1095" s="2"/>
      <c r="K1095" s="2"/>
      <c r="P1095" s="3"/>
      <c r="Q1095" s="3"/>
      <c r="T1095" s="3"/>
    </row>
    <row r="1096" spans="8:20" ht="14.25" customHeight="1">
      <c r="H1096" s="2"/>
      <c r="K1096" s="2"/>
      <c r="P1096" s="3"/>
      <c r="Q1096" s="3"/>
      <c r="T1096" s="3"/>
    </row>
    <row r="1097" spans="8:20" ht="14.25" customHeight="1">
      <c r="H1097" s="2"/>
      <c r="K1097" s="2"/>
      <c r="P1097" s="3"/>
      <c r="Q1097" s="3"/>
      <c r="T1097" s="3"/>
    </row>
    <row r="1098" spans="8:20" ht="14.25" customHeight="1">
      <c r="H1098" s="2"/>
      <c r="K1098" s="2"/>
      <c r="P1098" s="3"/>
      <c r="Q1098" s="3"/>
      <c r="T1098" s="3"/>
    </row>
    <row r="1099" spans="8:20" ht="14.25" customHeight="1">
      <c r="H1099" s="2"/>
      <c r="K1099" s="2"/>
      <c r="P1099" s="3"/>
      <c r="Q1099" s="3"/>
      <c r="T1099" s="3"/>
    </row>
    <row r="1100" spans="8:20" ht="14.25" customHeight="1">
      <c r="H1100" s="2"/>
      <c r="K1100" s="2"/>
      <c r="P1100" s="3"/>
      <c r="Q1100" s="3"/>
      <c r="T1100" s="3"/>
    </row>
    <row r="1101" spans="8:20" ht="14.25" customHeight="1">
      <c r="H1101" s="2"/>
      <c r="K1101" s="2"/>
      <c r="P1101" s="3"/>
      <c r="Q1101" s="3"/>
      <c r="T1101" s="3"/>
    </row>
    <row r="1102" spans="8:20" ht="14.25" customHeight="1">
      <c r="H1102" s="2"/>
      <c r="K1102" s="2"/>
      <c r="P1102" s="3"/>
      <c r="Q1102" s="3"/>
      <c r="T1102" s="3"/>
    </row>
    <row r="1103" spans="8:20" ht="14.25" customHeight="1">
      <c r="H1103" s="2"/>
      <c r="K1103" s="2"/>
      <c r="P1103" s="3"/>
      <c r="Q1103" s="3"/>
      <c r="T1103" s="3"/>
    </row>
    <row r="1104" spans="8:20" ht="14.25" customHeight="1">
      <c r="H1104" s="2"/>
      <c r="K1104" s="2"/>
      <c r="P1104" s="3"/>
      <c r="Q1104" s="3"/>
      <c r="T1104" s="3"/>
    </row>
  </sheetData>
  <mergeCells count="31">
    <mergeCell ref="B141:F141"/>
    <mergeCell ref="B143:F143"/>
    <mergeCell ref="B4:F4"/>
    <mergeCell ref="B114:F114"/>
    <mergeCell ref="B14:F14"/>
    <mergeCell ref="B36:F36"/>
    <mergeCell ref="B39:F39"/>
    <mergeCell ref="B49:F49"/>
    <mergeCell ref="B107:F107"/>
    <mergeCell ref="B118:F118"/>
    <mergeCell ref="B126:F126"/>
    <mergeCell ref="B128:F128"/>
    <mergeCell ref="B121:F121"/>
    <mergeCell ref="B123:F123"/>
    <mergeCell ref="B110:F110"/>
    <mergeCell ref="B146:F146"/>
    <mergeCell ref="B148:F148"/>
    <mergeCell ref="B46:F46"/>
    <mergeCell ref="B101:F101"/>
    <mergeCell ref="B151:F151"/>
    <mergeCell ref="B61:F61"/>
    <mergeCell ref="B86:F86"/>
    <mergeCell ref="B90:F90"/>
    <mergeCell ref="B64:F64"/>
    <mergeCell ref="B83:F83"/>
    <mergeCell ref="B93:F93"/>
    <mergeCell ref="B98:F98"/>
    <mergeCell ref="B131:F131"/>
    <mergeCell ref="B133:F133"/>
    <mergeCell ref="B136:F136"/>
    <mergeCell ref="B138:F138"/>
  </mergeCells>
  <phoneticPr fontId="16" type="noConversion"/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F5E6-FCFB-4BDF-A26C-91FDB8FCE0A2}">
  <dimension ref="B1:X988"/>
  <sheetViews>
    <sheetView tabSelected="1" topLeftCell="O13" zoomScale="85" zoomScaleNormal="85" workbookViewId="0">
      <selection activeCell="V21" sqref="V21"/>
    </sheetView>
  </sheetViews>
  <sheetFormatPr defaultColWidth="14.44140625" defaultRowHeight="15" customHeight="1"/>
  <cols>
    <col min="1" max="1" width="8.88671875" customWidth="1"/>
    <col min="2" max="2" width="62.109375" customWidth="1"/>
    <col min="3" max="3" width="15.88671875" customWidth="1"/>
    <col min="4" max="4" width="11.109375" style="53" customWidth="1"/>
    <col min="5" max="5" width="11.109375" customWidth="1"/>
    <col min="6" max="6" width="46.5546875" customWidth="1"/>
    <col min="7" max="7" width="22.88671875" customWidth="1"/>
    <col min="8" max="8" width="25.6640625" customWidth="1"/>
    <col min="9" max="9" width="8" customWidth="1"/>
    <col min="10" max="10" width="11.5546875" style="53" customWidth="1"/>
    <col min="11" max="11" width="12.5546875" style="53" customWidth="1"/>
    <col min="12" max="12" width="13.44140625" customWidth="1"/>
    <col min="13" max="13" width="15.109375" customWidth="1"/>
    <col min="14" max="14" width="52.33203125" customWidth="1"/>
    <col min="15" max="15" width="17.33203125" customWidth="1"/>
    <col min="16" max="16" width="13.33203125" customWidth="1"/>
    <col min="17" max="17" width="11.6640625" customWidth="1"/>
    <col min="18" max="18" width="51" customWidth="1"/>
    <col min="19" max="19" width="8.88671875" customWidth="1"/>
    <col min="20" max="20" width="50.44140625" customWidth="1"/>
    <col min="21" max="21" width="20.6640625" customWidth="1"/>
    <col min="22" max="22" width="12.33203125" customWidth="1"/>
    <col min="23" max="23" width="8.6640625" customWidth="1"/>
    <col min="24" max="24" width="10.6640625" customWidth="1"/>
  </cols>
  <sheetData>
    <row r="1" spans="2:17" ht="14.25" customHeight="1">
      <c r="B1" s="1" t="s">
        <v>0</v>
      </c>
      <c r="C1" s="1"/>
      <c r="D1" s="12"/>
      <c r="H1" s="2"/>
      <c r="M1" s="3"/>
      <c r="N1" s="3"/>
      <c r="Q1" s="3"/>
    </row>
    <row r="2" spans="2:17" ht="14.25" customHeight="1">
      <c r="B2" s="178" t="s">
        <v>252</v>
      </c>
      <c r="C2" s="1"/>
      <c r="D2" s="12"/>
      <c r="H2" s="2"/>
      <c r="M2" s="3"/>
      <c r="N2" s="3"/>
      <c r="Q2" s="3"/>
    </row>
    <row r="3" spans="2:17" ht="14.25" customHeight="1" thickBot="1">
      <c r="B3" s="1"/>
      <c r="C3" s="1"/>
      <c r="D3" s="12"/>
      <c r="H3" s="2"/>
      <c r="M3" s="3"/>
      <c r="N3" s="3"/>
      <c r="Q3" s="3"/>
    </row>
    <row r="4" spans="2:17" ht="21.6" customHeight="1" thickBot="1">
      <c r="B4" s="443" t="s">
        <v>44</v>
      </c>
      <c r="C4" s="444"/>
      <c r="D4" s="444"/>
      <c r="E4" s="444"/>
      <c r="F4" s="445"/>
      <c r="H4" s="449" t="s">
        <v>253</v>
      </c>
      <c r="I4" s="450"/>
      <c r="J4" s="450"/>
      <c r="K4" s="451"/>
      <c r="L4" s="256"/>
      <c r="M4" s="3"/>
      <c r="N4" s="3"/>
      <c r="Q4" s="3"/>
    </row>
    <row r="5" spans="2:17" ht="14.25" customHeight="1">
      <c r="B5" s="114" t="s">
        <v>24</v>
      </c>
      <c r="C5" s="115" t="s">
        <v>25</v>
      </c>
      <c r="D5" s="116" t="s">
        <v>45</v>
      </c>
      <c r="E5" s="116" t="s">
        <v>26</v>
      </c>
      <c r="F5" s="117" t="s">
        <v>27</v>
      </c>
      <c r="H5" s="228" t="s">
        <v>24</v>
      </c>
      <c r="I5" s="229" t="s">
        <v>25</v>
      </c>
      <c r="J5" s="229" t="s">
        <v>45</v>
      </c>
      <c r="K5" s="230" t="s">
        <v>26</v>
      </c>
      <c r="M5" s="3"/>
      <c r="N5" s="3"/>
      <c r="Q5" s="3"/>
    </row>
    <row r="6" spans="2:17" ht="14.25" customHeight="1">
      <c r="B6" s="83" t="s">
        <v>46</v>
      </c>
      <c r="C6" s="58" t="s">
        <v>47</v>
      </c>
      <c r="D6" s="128">
        <f>'2-Inventory analysis-HTS'!D7</f>
        <v>32000</v>
      </c>
      <c r="E6" s="60" t="s">
        <v>29</v>
      </c>
      <c r="F6" s="84"/>
      <c r="H6" s="254" t="s">
        <v>254</v>
      </c>
      <c r="I6" s="255" t="s">
        <v>255</v>
      </c>
      <c r="J6" s="317">
        <f>4*PI()*0.0000001</f>
        <v>1.2566370614359173E-6</v>
      </c>
      <c r="K6" s="319" t="s">
        <v>256</v>
      </c>
      <c r="M6" s="3"/>
      <c r="N6" s="3"/>
      <c r="Q6" s="3"/>
    </row>
    <row r="7" spans="2:17" ht="14.25" customHeight="1">
      <c r="B7" s="83" t="s">
        <v>49</v>
      </c>
      <c r="C7" s="58" t="s">
        <v>50</v>
      </c>
      <c r="D7" s="128">
        <f>'2-Inventory analysis-HTS'!D8</f>
        <v>750000000</v>
      </c>
      <c r="E7" s="60" t="s">
        <v>51</v>
      </c>
      <c r="F7" s="84"/>
      <c r="H7" s="254" t="s">
        <v>257</v>
      </c>
      <c r="I7" s="255" t="s">
        <v>258</v>
      </c>
      <c r="J7" s="317">
        <v>9.81</v>
      </c>
      <c r="K7" s="319" t="s">
        <v>259</v>
      </c>
      <c r="M7" s="3"/>
      <c r="N7" s="3"/>
      <c r="Q7" s="3"/>
    </row>
    <row r="8" spans="2:17" ht="14.25" customHeight="1" thickBot="1">
      <c r="B8" s="83" t="s">
        <v>54</v>
      </c>
      <c r="C8" s="58" t="s">
        <v>55</v>
      </c>
      <c r="D8" s="128">
        <f>'2-Inventory analysis-HTS'!D9</f>
        <v>33000</v>
      </c>
      <c r="E8" s="60" t="s">
        <v>56</v>
      </c>
      <c r="F8" s="84"/>
      <c r="H8" s="231" t="s">
        <v>260</v>
      </c>
      <c r="I8" s="227" t="s">
        <v>261</v>
      </c>
      <c r="J8" s="318">
        <f>0.000000000008854</f>
        <v>8.8539999999999992E-12</v>
      </c>
      <c r="K8" s="320" t="s">
        <v>262</v>
      </c>
      <c r="M8" s="3"/>
      <c r="N8" s="3"/>
      <c r="Q8" s="3"/>
    </row>
    <row r="9" spans="2:17" ht="14.25" customHeight="1">
      <c r="B9" s="83" t="s">
        <v>65</v>
      </c>
      <c r="C9" s="58" t="s">
        <v>66</v>
      </c>
      <c r="D9" s="59">
        <f>'2-Inventory analysis-HTS'!D12</f>
        <v>50</v>
      </c>
      <c r="E9" s="60" t="s">
        <v>67</v>
      </c>
      <c r="F9" s="84"/>
      <c r="M9" s="3"/>
      <c r="N9" s="3"/>
      <c r="Q9" s="3"/>
    </row>
    <row r="10" spans="2:17" ht="14.25" customHeight="1">
      <c r="B10" s="83" t="s">
        <v>263</v>
      </c>
      <c r="C10" s="58" t="s">
        <v>59</v>
      </c>
      <c r="D10" s="129">
        <f>'2-Inventory analysis-HTS'!D10</f>
        <v>0.95</v>
      </c>
      <c r="E10" s="60"/>
      <c r="F10" s="84"/>
      <c r="H10" s="2"/>
      <c r="M10" s="3"/>
      <c r="N10" s="3"/>
      <c r="Q10" s="3"/>
    </row>
    <row r="11" spans="2:17" ht="14.25" customHeight="1">
      <c r="B11" s="241" t="s">
        <v>61</v>
      </c>
      <c r="C11" s="63" t="s">
        <v>62</v>
      </c>
      <c r="D11" s="129">
        <f>'2-Inventory analysis-HTS'!D11</f>
        <v>303.14999999999998</v>
      </c>
      <c r="E11" s="60" t="s">
        <v>63</v>
      </c>
      <c r="F11" s="247"/>
      <c r="H11" s="2"/>
      <c r="M11" s="3"/>
      <c r="N11" s="3"/>
      <c r="Q11" s="3"/>
    </row>
    <row r="12" spans="2:17" ht="14.25" customHeight="1">
      <c r="B12" s="241" t="s">
        <v>264</v>
      </c>
      <c r="C12" s="63" t="s">
        <v>265</v>
      </c>
      <c r="D12" s="221">
        <f>D7/(SQRT(3)*D8*D10)</f>
        <v>13812.207396881002</v>
      </c>
      <c r="E12" s="60" t="s">
        <v>28</v>
      </c>
      <c r="F12" s="248" t="s">
        <v>266</v>
      </c>
      <c r="M12" s="3"/>
      <c r="N12" s="3"/>
      <c r="Q12" s="3"/>
    </row>
    <row r="13" spans="2:17" ht="14.25" customHeight="1">
      <c r="B13" s="241" t="s">
        <v>267</v>
      </c>
      <c r="C13" s="63" t="s">
        <v>268</v>
      </c>
      <c r="D13" s="129">
        <f>D12/'2-Inventory analysis-HTS'!D20</f>
        <v>6906.1036984405009</v>
      </c>
      <c r="E13" s="60" t="s">
        <v>28</v>
      </c>
      <c r="F13" s="247" t="s">
        <v>564</v>
      </c>
      <c r="M13" s="3"/>
      <c r="N13" s="3"/>
      <c r="Q13" s="3"/>
    </row>
    <row r="14" spans="2:17" ht="14.25" customHeight="1">
      <c r="B14" s="241" t="s">
        <v>269</v>
      </c>
      <c r="C14" s="63" t="s">
        <v>270</v>
      </c>
      <c r="D14" s="129">
        <f>D12/'2-Inventory analysis-HTS'!D20</f>
        <v>6906.1036984405009</v>
      </c>
      <c r="E14" s="60" t="s">
        <v>28</v>
      </c>
      <c r="F14" s="247" t="s">
        <v>565</v>
      </c>
      <c r="M14" s="3"/>
      <c r="N14" s="3"/>
      <c r="Q14" s="3"/>
    </row>
    <row r="15" spans="2:17" ht="14.25" customHeight="1">
      <c r="B15" s="241" t="s">
        <v>271</v>
      </c>
      <c r="C15" s="63" t="s">
        <v>272</v>
      </c>
      <c r="D15" s="129">
        <f>D12/'2-Inventory analysis-HTS'!D21</f>
        <v>13812.207396881002</v>
      </c>
      <c r="E15" s="60" t="s">
        <v>28</v>
      </c>
      <c r="F15" s="247" t="s">
        <v>566</v>
      </c>
      <c r="H15" s="2"/>
      <c r="M15" s="3"/>
      <c r="N15" s="3"/>
      <c r="Q15" s="3"/>
    </row>
    <row r="16" spans="2:17" ht="14.25" customHeight="1" thickBot="1">
      <c r="B16" s="249" t="s">
        <v>273</v>
      </c>
      <c r="C16" s="250" t="s">
        <v>272</v>
      </c>
      <c r="D16" s="251">
        <f>D12/'2-Inventory analysis-HTS'!D22</f>
        <v>13812.207396881002</v>
      </c>
      <c r="E16" s="252" t="s">
        <v>28</v>
      </c>
      <c r="F16" s="253" t="s">
        <v>567</v>
      </c>
      <c r="H16" s="2"/>
      <c r="M16" s="3"/>
      <c r="N16" s="3"/>
      <c r="Q16" s="3"/>
    </row>
    <row r="17" spans="2:24" ht="14.25" customHeight="1" thickBot="1">
      <c r="B17" s="1"/>
      <c r="C17" s="1"/>
      <c r="D17" s="12"/>
      <c r="H17" s="2"/>
      <c r="M17" s="3"/>
      <c r="N17" s="3"/>
      <c r="Q17" s="3"/>
    </row>
    <row r="18" spans="2:24" ht="18.600000000000001" customHeight="1" thickBot="1">
      <c r="B18" s="442" t="s">
        <v>274</v>
      </c>
      <c r="C18" s="437"/>
      <c r="D18" s="437"/>
      <c r="E18" s="437"/>
      <c r="F18" s="438"/>
      <c r="H18" s="442" t="s">
        <v>275</v>
      </c>
      <c r="I18" s="437"/>
      <c r="J18" s="437"/>
      <c r="K18" s="437"/>
      <c r="L18" s="438"/>
      <c r="M18" s="3"/>
      <c r="N18" s="442" t="s">
        <v>590</v>
      </c>
      <c r="O18" s="437"/>
      <c r="P18" s="437"/>
      <c r="Q18" s="437"/>
      <c r="R18" s="438"/>
      <c r="T18" s="442" t="s">
        <v>276</v>
      </c>
      <c r="U18" s="437"/>
      <c r="V18" s="437"/>
      <c r="W18" s="437"/>
      <c r="X18" s="438"/>
    </row>
    <row r="19" spans="2:24" ht="18.600000000000001" customHeight="1" thickBot="1">
      <c r="B19" s="114" t="s">
        <v>24</v>
      </c>
      <c r="C19" s="115" t="s">
        <v>25</v>
      </c>
      <c r="D19" s="116" t="s">
        <v>45</v>
      </c>
      <c r="E19" s="116" t="s">
        <v>26</v>
      </c>
      <c r="F19" s="117" t="s">
        <v>27</v>
      </c>
      <c r="H19" s="118" t="s">
        <v>24</v>
      </c>
      <c r="I19" s="120" t="s">
        <v>25</v>
      </c>
      <c r="J19" s="120" t="s">
        <v>45</v>
      </c>
      <c r="K19" s="120" t="s">
        <v>26</v>
      </c>
      <c r="L19" s="121" t="s">
        <v>27</v>
      </c>
      <c r="M19" s="3"/>
      <c r="N19" s="118" t="s">
        <v>24</v>
      </c>
      <c r="O19" s="119" t="s">
        <v>25</v>
      </c>
      <c r="P19" s="120" t="s">
        <v>45</v>
      </c>
      <c r="Q19" s="120" t="s">
        <v>26</v>
      </c>
      <c r="R19" s="121" t="s">
        <v>27</v>
      </c>
      <c r="T19" s="270" t="s">
        <v>24</v>
      </c>
      <c r="U19" s="271" t="s">
        <v>25</v>
      </c>
      <c r="V19" s="272" t="s">
        <v>45</v>
      </c>
      <c r="W19" s="272" t="s">
        <v>26</v>
      </c>
      <c r="X19" s="273" t="s">
        <v>27</v>
      </c>
    </row>
    <row r="20" spans="2:24" ht="14.25" customHeight="1" thickBot="1">
      <c r="B20" s="83" t="s">
        <v>154</v>
      </c>
      <c r="C20" s="63" t="s">
        <v>155</v>
      </c>
      <c r="D20" s="64">
        <f>'2-Inventory analysis-HTS'!D66</f>
        <v>0.03</v>
      </c>
      <c r="E20" s="60" t="s">
        <v>29</v>
      </c>
      <c r="F20" s="84"/>
      <c r="H20" s="201"/>
      <c r="I20" s="207" t="s">
        <v>277</v>
      </c>
      <c r="J20" s="208">
        <v>1</v>
      </c>
      <c r="K20" s="209"/>
      <c r="L20" s="210"/>
      <c r="M20" s="3"/>
      <c r="N20" s="241" t="s">
        <v>211</v>
      </c>
      <c r="O20" s="63" t="s">
        <v>212</v>
      </c>
      <c r="P20" s="65">
        <f>'2-Inventory analysis-HTS'!D103</f>
        <v>5</v>
      </c>
      <c r="Q20" s="65"/>
      <c r="R20" s="242"/>
      <c r="T20" s="233" t="s">
        <v>278</v>
      </c>
      <c r="U20" s="234" t="s">
        <v>279</v>
      </c>
      <c r="V20" s="305">
        <f>'2-Inventory analysis-HTS'!D81/(PI()*D20*D20*'2-Inventory analysis-HTS'!D74)</f>
        <v>0.90632532816203148</v>
      </c>
      <c r="W20" s="236" t="s">
        <v>280</v>
      </c>
      <c r="X20" s="237"/>
    </row>
    <row r="21" spans="2:24" ht="14.25" customHeight="1" thickBot="1">
      <c r="B21" s="186" t="s">
        <v>281</v>
      </c>
      <c r="C21" s="194" t="s">
        <v>282</v>
      </c>
      <c r="D21" s="195">
        <v>2E-3</v>
      </c>
      <c r="E21" s="196" t="s">
        <v>29</v>
      </c>
      <c r="F21" s="91"/>
      <c r="H21" s="203"/>
      <c r="I21" s="211" t="s">
        <v>283</v>
      </c>
      <c r="J21" s="212">
        <v>1</v>
      </c>
      <c r="K21" s="206"/>
      <c r="L21" s="202"/>
      <c r="M21" s="3"/>
      <c r="N21" s="264" t="s">
        <v>284</v>
      </c>
      <c r="O21" s="265" t="s">
        <v>285</v>
      </c>
      <c r="P21" s="306">
        <f>D6/(P20+1)</f>
        <v>5333.333333333333</v>
      </c>
      <c r="Q21" s="307" t="s">
        <v>29</v>
      </c>
      <c r="R21" s="266" t="s">
        <v>286</v>
      </c>
      <c r="T21" s="238" t="s">
        <v>287</v>
      </c>
      <c r="U21" s="239" t="s">
        <v>288</v>
      </c>
      <c r="V21" s="308">
        <f>'2-Inventory analysis-HTS'!D81/(PI()*D43*D43*'2-Inventory analysis-HTS'!D74)</f>
        <v>1.0554484697296056</v>
      </c>
      <c r="W21" s="13" t="s">
        <v>280</v>
      </c>
      <c r="X21" s="240"/>
    </row>
    <row r="22" spans="2:24" ht="14.25" customHeight="1">
      <c r="B22" s="187" t="s">
        <v>289</v>
      </c>
      <c r="C22" s="194" t="s">
        <v>290</v>
      </c>
      <c r="D22" s="195">
        <v>1.9E-3</v>
      </c>
      <c r="E22" s="196" t="s">
        <v>29</v>
      </c>
      <c r="F22" s="91"/>
      <c r="H22" s="204"/>
      <c r="I22" s="213" t="s">
        <v>291</v>
      </c>
      <c r="J22" s="212">
        <v>1.2</v>
      </c>
      <c r="K22" s="206"/>
      <c r="L22" s="202"/>
      <c r="M22" s="3"/>
      <c r="N22" s="267" t="s">
        <v>292</v>
      </c>
      <c r="O22" s="268"/>
      <c r="P22" s="268"/>
      <c r="Q22" s="268"/>
      <c r="R22" s="269"/>
      <c r="T22" s="238" t="s">
        <v>293</v>
      </c>
      <c r="U22" s="239" t="s">
        <v>294</v>
      </c>
      <c r="V22" s="263">
        <f>2*D20*V20*'2-Inventory analysis-HTS'!D74/'2-Inventory analysis-HTS'!D73</f>
        <v>1819155.3835596754</v>
      </c>
      <c r="W22" s="13"/>
      <c r="X22" s="240"/>
    </row>
    <row r="23" spans="2:24" ht="14.25" customHeight="1" thickBot="1">
      <c r="B23" s="188" t="s">
        <v>85</v>
      </c>
      <c r="C23" s="179" t="s">
        <v>86</v>
      </c>
      <c r="D23" s="180">
        <f>D20+D21+D22</f>
        <v>3.39E-2</v>
      </c>
      <c r="E23" s="71" t="s">
        <v>29</v>
      </c>
      <c r="F23" s="91" t="s">
        <v>295</v>
      </c>
      <c r="H23" s="203"/>
      <c r="I23" s="211" t="s">
        <v>296</v>
      </c>
      <c r="J23" s="214">
        <v>750000</v>
      </c>
      <c r="K23" s="206" t="s">
        <v>56</v>
      </c>
      <c r="L23" s="202"/>
      <c r="M23" s="3"/>
      <c r="N23" s="270" t="s">
        <v>24</v>
      </c>
      <c r="O23" s="271" t="s">
        <v>25</v>
      </c>
      <c r="P23" s="272" t="s">
        <v>45</v>
      </c>
      <c r="Q23" s="272" t="s">
        <v>26</v>
      </c>
      <c r="R23" s="273" t="s">
        <v>27</v>
      </c>
      <c r="T23" s="238" t="s">
        <v>297</v>
      </c>
      <c r="U23" s="239" t="s">
        <v>298</v>
      </c>
      <c r="V23" s="263">
        <f>2*D43*V21*'2-Inventory analysis-HTS'!D74/'2-Inventory analysis-HTS'!D73</f>
        <v>1963117.320388139</v>
      </c>
      <c r="W23" s="13"/>
      <c r="X23" s="240"/>
    </row>
    <row r="24" spans="2:24" ht="14.25" customHeight="1">
      <c r="B24" s="187" t="s">
        <v>299</v>
      </c>
      <c r="C24" s="194" t="s">
        <v>300</v>
      </c>
      <c r="D24" s="195">
        <v>1.4999999999999999E-4</v>
      </c>
      <c r="E24" s="196" t="s">
        <v>29</v>
      </c>
      <c r="F24" s="91"/>
      <c r="H24" s="203"/>
      <c r="I24" s="211" t="s">
        <v>301</v>
      </c>
      <c r="J24" s="214">
        <v>75000000</v>
      </c>
      <c r="K24" s="206" t="s">
        <v>302</v>
      </c>
      <c r="L24" s="202"/>
      <c r="M24" s="3"/>
      <c r="N24" s="233" t="s">
        <v>102</v>
      </c>
      <c r="O24" s="234" t="s">
        <v>103</v>
      </c>
      <c r="P24" s="235">
        <f>ROUND(2*PI()*'2-Inventory analysis-HTS'!D23*COS(ABS('2-Inventory analysis-HTS'!D27*PI()/180))/'2-Inventory analysis-HTS'!$D$16,0)</f>
        <v>52</v>
      </c>
      <c r="Q24" s="236"/>
      <c r="R24" s="237" t="s">
        <v>104</v>
      </c>
      <c r="T24" s="238" t="s">
        <v>303</v>
      </c>
      <c r="U24" s="239" t="s">
        <v>304</v>
      </c>
      <c r="V24" s="263">
        <f>(-1.8*LN(('2-Inventory analysis-HTS'!D69/(7.4*D20))^(1.11)+(6.9/V22)))^(-2)</f>
        <v>9.7635018746228073E-3</v>
      </c>
      <c r="W24" s="13"/>
      <c r="X24" s="240"/>
    </row>
    <row r="25" spans="2:24" ht="14.25" customHeight="1" thickBot="1">
      <c r="B25" s="187" t="s">
        <v>305</v>
      </c>
      <c r="C25" s="185" t="s">
        <v>306</v>
      </c>
      <c r="D25" s="184">
        <v>5.0000000000000002E-5</v>
      </c>
      <c r="E25" s="71" t="s">
        <v>29</v>
      </c>
      <c r="F25" s="91"/>
      <c r="H25" s="204"/>
      <c r="I25" s="213" t="s">
        <v>307</v>
      </c>
      <c r="J25" s="212">
        <v>1.4</v>
      </c>
      <c r="K25" s="206"/>
      <c r="L25" s="202"/>
      <c r="M25" s="3"/>
      <c r="N25" s="238" t="s">
        <v>105</v>
      </c>
      <c r="O25" s="239" t="s">
        <v>106</v>
      </c>
      <c r="P25" s="232">
        <f>ROUND(2*PI()*'2-Inventory analysis-HTS'!D24*COS(ABS('2-Inventory analysis-HTS'!D28*PI()/180))/'2-Inventory analysis-HTS'!$D$16,0)</f>
        <v>52</v>
      </c>
      <c r="Q25" s="13"/>
      <c r="R25" s="240" t="s">
        <v>107</v>
      </c>
      <c r="T25" s="238" t="s">
        <v>308</v>
      </c>
      <c r="U25" s="239" t="s">
        <v>309</v>
      </c>
      <c r="V25" s="263">
        <f>(-1.8*LN(('2-Inventory analysis-HTS'!D70/(7.4*D43))^(1.11)+(6.9/V23)))^(-2)</f>
        <v>1.0063301697926397E-2</v>
      </c>
      <c r="W25" s="13"/>
      <c r="X25" s="240"/>
    </row>
    <row r="26" spans="2:24" ht="14.25" customHeight="1">
      <c r="B26" s="188" t="s">
        <v>87</v>
      </c>
      <c r="C26" s="179" t="s">
        <v>88</v>
      </c>
      <c r="D26" s="180">
        <f>D23+D24+D25</f>
        <v>3.4099999999999998E-2</v>
      </c>
      <c r="E26" s="71" t="s">
        <v>29</v>
      </c>
      <c r="F26" s="91" t="s">
        <v>310</v>
      </c>
      <c r="H26" s="204"/>
      <c r="I26" s="213" t="s">
        <v>311</v>
      </c>
      <c r="J26" s="212">
        <v>1</v>
      </c>
      <c r="K26" s="206"/>
      <c r="L26" s="202"/>
      <c r="M26" s="3"/>
      <c r="N26" s="238" t="s">
        <v>108</v>
      </c>
      <c r="O26" s="239" t="s">
        <v>109</v>
      </c>
      <c r="P26" s="232">
        <f>ROUND(2*PI()*'2-Inventory analysis-HTS'!D25*COS(ABS('2-Inventory analysis-HTS'!D29*PI()/180))/'2-Inventory analysis-HTS'!$D$16,0)</f>
        <v>74</v>
      </c>
      <c r="Q26" s="13"/>
      <c r="R26" s="240" t="s">
        <v>110</v>
      </c>
      <c r="T26" s="267" t="s">
        <v>312</v>
      </c>
      <c r="U26" s="239"/>
      <c r="V26" s="232"/>
      <c r="W26" s="13"/>
      <c r="X26" s="240"/>
    </row>
    <row r="27" spans="2:24" ht="14.25" customHeight="1">
      <c r="B27" s="188" t="s">
        <v>132</v>
      </c>
      <c r="C27" s="69" t="s">
        <v>133</v>
      </c>
      <c r="D27" s="181">
        <f>D26+D24</f>
        <v>3.4249999999999996E-2</v>
      </c>
      <c r="E27" s="71" t="s">
        <v>29</v>
      </c>
      <c r="F27" s="91" t="s">
        <v>313</v>
      </c>
      <c r="H27" s="203"/>
      <c r="I27" s="211" t="s">
        <v>314</v>
      </c>
      <c r="J27" s="212">
        <v>1.2</v>
      </c>
      <c r="K27" s="206"/>
      <c r="L27" s="202"/>
      <c r="M27" s="3"/>
      <c r="N27" s="238" t="s">
        <v>111</v>
      </c>
      <c r="O27" s="239" t="s">
        <v>112</v>
      </c>
      <c r="P27" s="232">
        <f>ROUND(2*PI()*'2-Inventory analysis-HTS'!D26*COS(ABS('2-Inventory analysis-HTS'!D30*PI()/180))/'2-Inventory analysis-HTS'!$D$16,0)</f>
        <v>95</v>
      </c>
      <c r="Q27" s="13"/>
      <c r="R27" s="240" t="s">
        <v>113</v>
      </c>
      <c r="T27" s="238" t="s">
        <v>315</v>
      </c>
      <c r="U27" s="239" t="s">
        <v>316</v>
      </c>
      <c r="V27" s="313">
        <f>(P21*V24*V20*V20/(4*D20*'2-Inventory analysis-HTS'!D72))+(P69/(2*'2-Inventory analysis-HTS'!D81*'2-Inventory analysis-HTS'!D72))</f>
        <v>3.5139995658551633</v>
      </c>
      <c r="W27" s="13" t="s">
        <v>63</v>
      </c>
      <c r="X27" s="240"/>
    </row>
    <row r="28" spans="2:24" ht="14.25" customHeight="1">
      <c r="B28" s="187" t="s">
        <v>317</v>
      </c>
      <c r="C28" s="194" t="s">
        <v>318</v>
      </c>
      <c r="D28" s="195">
        <f>MAX(D27*((EXP($J$20*$J$21*$J$22*$J$23/(D27*$J$24)))-1),D27*((EXP($J$25*$J$26*$J$27*$J$28/(D27*$J$29)))-1))</f>
        <v>1.4370805120994453E-2</v>
      </c>
      <c r="E28" s="196" t="s">
        <v>29</v>
      </c>
      <c r="F28" s="91" t="s">
        <v>319</v>
      </c>
      <c r="H28" s="204"/>
      <c r="I28" s="213" t="s">
        <v>320</v>
      </c>
      <c r="J28" s="205">
        <f>2.5*(SQRT(2)*D8)/SQRT(3)</f>
        <v>67360.9679265374</v>
      </c>
      <c r="K28" s="206" t="s">
        <v>56</v>
      </c>
      <c r="L28" s="202"/>
      <c r="M28" s="3"/>
      <c r="N28" s="241" t="s">
        <v>93</v>
      </c>
      <c r="O28" s="63" t="s">
        <v>94</v>
      </c>
      <c r="P28" s="61">
        <f>'2-Inventory analysis-HTS'!D27</f>
        <v>11</v>
      </c>
      <c r="Q28" s="60" t="s">
        <v>95</v>
      </c>
      <c r="R28" s="242"/>
      <c r="T28" s="238" t="s">
        <v>321</v>
      </c>
      <c r="U28" s="239" t="s">
        <v>322</v>
      </c>
      <c r="V28" s="313">
        <f>(P21*(V21*V21*V24)/(4*D43*'2-Inventory analysis-HTS'!D72))+('3.0-HTS Cable design'!P70/(2*'2-Inventory analysis-HTS'!D81*'2-Inventory analysis-HTS'!D72))</f>
        <v>4.6179531103207978</v>
      </c>
      <c r="W28" s="13" t="s">
        <v>63</v>
      </c>
      <c r="X28" s="240"/>
    </row>
    <row r="29" spans="2:24" ht="14.25" customHeight="1" thickBot="1">
      <c r="B29" s="188" t="s">
        <v>134</v>
      </c>
      <c r="C29" s="69" t="s">
        <v>135</v>
      </c>
      <c r="D29" s="181">
        <f>D27+D28</f>
        <v>4.8620805120994447E-2</v>
      </c>
      <c r="E29" s="71" t="s">
        <v>29</v>
      </c>
      <c r="F29" s="91" t="s">
        <v>323</v>
      </c>
      <c r="H29" s="215"/>
      <c r="I29" s="216" t="s">
        <v>324</v>
      </c>
      <c r="J29" s="217">
        <v>52000000</v>
      </c>
      <c r="K29" s="218" t="s">
        <v>302</v>
      </c>
      <c r="L29" s="219"/>
      <c r="M29" s="3"/>
      <c r="N29" s="241" t="s">
        <v>96</v>
      </c>
      <c r="O29" s="243" t="s">
        <v>97</v>
      </c>
      <c r="P29" s="61">
        <f>'2-Inventory analysis-HTS'!D28</f>
        <v>15</v>
      </c>
      <c r="Q29" s="60" t="s">
        <v>95</v>
      </c>
      <c r="R29" s="242"/>
      <c r="T29" s="238" t="s">
        <v>325</v>
      </c>
      <c r="U29" s="239" t="s">
        <v>326</v>
      </c>
      <c r="V29" s="313">
        <f>'2-Inventory analysis-HTS'!D76+'3.0-HTS Cable design'!V27</f>
        <v>71.513999565855158</v>
      </c>
      <c r="W29" s="13" t="s">
        <v>63</v>
      </c>
      <c r="X29" s="240"/>
    </row>
    <row r="30" spans="2:24" ht="14.25" customHeight="1">
      <c r="B30" s="188" t="s">
        <v>89</v>
      </c>
      <c r="C30" s="179" t="s">
        <v>90</v>
      </c>
      <c r="D30" s="180">
        <f>D29</f>
        <v>4.8620805120994447E-2</v>
      </c>
      <c r="E30" s="71" t="s">
        <v>29</v>
      </c>
      <c r="F30" s="91" t="s">
        <v>327</v>
      </c>
      <c r="M30" s="3"/>
      <c r="N30" s="241" t="s">
        <v>98</v>
      </c>
      <c r="O30" s="63" t="s">
        <v>99</v>
      </c>
      <c r="P30" s="61">
        <f>'2-Inventory analysis-HTS'!D29</f>
        <v>-13</v>
      </c>
      <c r="Q30" s="60" t="s">
        <v>95</v>
      </c>
      <c r="R30" s="242"/>
      <c r="T30" s="238" t="s">
        <v>328</v>
      </c>
      <c r="U30" s="239" t="s">
        <v>329</v>
      </c>
      <c r="V30" s="313">
        <f>'2-Inventory analysis-HTS'!D76+'3.0-HTS Cable design'!V28</f>
        <v>72.617953110320798</v>
      </c>
      <c r="W30" s="13" t="s">
        <v>63</v>
      </c>
      <c r="X30" s="240"/>
    </row>
    <row r="31" spans="2:24" ht="14.25" customHeight="1">
      <c r="B31" s="188" t="s">
        <v>136</v>
      </c>
      <c r="C31" s="69" t="s">
        <v>137</v>
      </c>
      <c r="D31" s="181">
        <f>D30+D24</f>
        <v>4.8770805120994444E-2</v>
      </c>
      <c r="E31" s="71" t="s">
        <v>29</v>
      </c>
      <c r="F31" s="91" t="s">
        <v>330</v>
      </c>
      <c r="H31" s="2"/>
      <c r="M31" s="3"/>
      <c r="N31" s="241" t="s">
        <v>100</v>
      </c>
      <c r="O31" s="63" t="s">
        <v>101</v>
      </c>
      <c r="P31" s="61">
        <f>'2-Inventory analysis-HTS'!D30</f>
        <v>-14</v>
      </c>
      <c r="Q31" s="60" t="s">
        <v>95</v>
      </c>
      <c r="R31" s="242"/>
      <c r="T31" s="238" t="s">
        <v>331</v>
      </c>
      <c r="U31" s="69" t="s">
        <v>332</v>
      </c>
      <c r="V31" s="313">
        <f>('2-Inventory analysis-HTS'!D76+'3.0-HTS Cable design'!V29)/2</f>
        <v>69.756999782927579</v>
      </c>
      <c r="W31" s="13" t="s">
        <v>63</v>
      </c>
      <c r="X31" s="240"/>
    </row>
    <row r="32" spans="2:24" ht="14.25" customHeight="1">
      <c r="B32" s="187" t="s">
        <v>317</v>
      </c>
      <c r="C32" s="194" t="s">
        <v>333</v>
      </c>
      <c r="D32" s="195">
        <f>MAX(D31*((EXP($J$20*$J$21*$J$22*$J$23/(D31*$J$24)))-1),D31*((EXP($J$25*$J$26*$J$27*$J$28/(D31*$J$29)))-1))</f>
        <v>1.3605203086273915E-2</v>
      </c>
      <c r="E32" s="196" t="s">
        <v>29</v>
      </c>
      <c r="F32" s="91" t="s">
        <v>319</v>
      </c>
      <c r="H32" s="2"/>
      <c r="M32" s="3"/>
      <c r="N32" s="204" t="s">
        <v>334</v>
      </c>
      <c r="O32" s="223" t="s">
        <v>335</v>
      </c>
      <c r="P32" s="222">
        <f>'2-Inventory analysis-HTS'!D18*(-0.0654*'2-Inventory analysis-HTS'!D17+6.0503)</f>
        <v>430.49371200000007</v>
      </c>
      <c r="Q32" s="206" t="s">
        <v>28</v>
      </c>
      <c r="R32" s="244"/>
      <c r="T32" s="238" t="s">
        <v>336</v>
      </c>
      <c r="U32" s="69" t="s">
        <v>180</v>
      </c>
      <c r="V32" s="313">
        <f>('2-Inventory analysis-HTS'!D76+'3.0-HTS Cable design'!V30)/2</f>
        <v>70.308976555160399</v>
      </c>
      <c r="W32" s="13" t="s">
        <v>63</v>
      </c>
      <c r="X32" s="240"/>
    </row>
    <row r="33" spans="2:24" ht="14.25" customHeight="1">
      <c r="B33" s="188" t="s">
        <v>134</v>
      </c>
      <c r="C33" s="69" t="s">
        <v>139</v>
      </c>
      <c r="D33" s="181">
        <f>D31+D32</f>
        <v>6.2376008207268359E-2</v>
      </c>
      <c r="E33" s="71" t="s">
        <v>29</v>
      </c>
      <c r="F33" s="91" t="s">
        <v>337</v>
      </c>
      <c r="H33" s="2"/>
      <c r="M33" s="3"/>
      <c r="N33" s="204" t="s">
        <v>338</v>
      </c>
      <c r="O33" s="223" t="s">
        <v>339</v>
      </c>
      <c r="P33" s="225">
        <f>SQRT(2)*D13/(P24*$P$32)</f>
        <v>0.43629269055339648</v>
      </c>
      <c r="Q33" s="206"/>
      <c r="R33" s="244"/>
      <c r="T33" s="238" t="s">
        <v>340</v>
      </c>
      <c r="U33" s="69" t="s">
        <v>341</v>
      </c>
      <c r="V33" s="313">
        <f>V31</f>
        <v>69.756999782927579</v>
      </c>
      <c r="W33" s="13" t="s">
        <v>63</v>
      </c>
      <c r="X33" s="240"/>
    </row>
    <row r="34" spans="2:24" ht="14.25" customHeight="1">
      <c r="B34" s="188" t="s">
        <v>91</v>
      </c>
      <c r="C34" s="179" t="s">
        <v>92</v>
      </c>
      <c r="D34" s="180">
        <f>D33</f>
        <v>6.2376008207268359E-2</v>
      </c>
      <c r="E34" s="71" t="s">
        <v>29</v>
      </c>
      <c r="F34" s="91" t="s">
        <v>342</v>
      </c>
      <c r="H34" s="2"/>
      <c r="M34" s="3"/>
      <c r="N34" s="204" t="s">
        <v>343</v>
      </c>
      <c r="O34" s="223" t="s">
        <v>344</v>
      </c>
      <c r="P34" s="225">
        <f>SQRT(2)*D14/(P25*$P$32)</f>
        <v>0.43629269055339648</v>
      </c>
      <c r="Q34" s="206"/>
      <c r="R34" s="244"/>
      <c r="T34" s="238" t="s">
        <v>345</v>
      </c>
      <c r="U34" s="69" t="s">
        <v>346</v>
      </c>
      <c r="V34" s="313">
        <f>V32</f>
        <v>70.308976555160399</v>
      </c>
      <c r="W34" s="13" t="s">
        <v>63</v>
      </c>
      <c r="X34" s="240"/>
    </row>
    <row r="35" spans="2:24" ht="14.25" customHeight="1" thickBot="1">
      <c r="B35" s="188" t="s">
        <v>140</v>
      </c>
      <c r="C35" s="69" t="s">
        <v>141</v>
      </c>
      <c r="D35" s="181">
        <f>D34+D24</f>
        <v>6.2526008207268363E-2</v>
      </c>
      <c r="E35" s="71" t="s">
        <v>29</v>
      </c>
      <c r="F35" s="91" t="s">
        <v>347</v>
      </c>
      <c r="H35" s="2"/>
      <c r="M35" s="3"/>
      <c r="N35" s="204" t="s">
        <v>348</v>
      </c>
      <c r="O35" s="223" t="s">
        <v>349</v>
      </c>
      <c r="P35" s="225">
        <f>SQRT(2)*D15/(P26*$P$32)</f>
        <v>0.61316810564261126</v>
      </c>
      <c r="Q35" s="206"/>
      <c r="R35" s="244"/>
      <c r="T35" s="90" t="s">
        <v>350</v>
      </c>
      <c r="U35" s="69" t="s">
        <v>74</v>
      </c>
      <c r="V35" s="313">
        <f>(V33+V34)/2</f>
        <v>70.032988169043989</v>
      </c>
      <c r="W35" s="13" t="s">
        <v>63</v>
      </c>
      <c r="X35" s="240"/>
    </row>
    <row r="36" spans="2:24" ht="14.25" customHeight="1">
      <c r="B36" s="187" t="s">
        <v>351</v>
      </c>
      <c r="C36" s="194" t="s">
        <v>352</v>
      </c>
      <c r="D36" s="195">
        <f>MAX(D35*((EXP($J$20*$J$21*$J$22*$J$23/(D35*$J$24)))-1),D35*((EXP($J$25*$J$26*$J$27*$J$28/(D35*$J$29)))-1))</f>
        <v>1.3228862154023248E-2</v>
      </c>
      <c r="E36" s="196" t="s">
        <v>29</v>
      </c>
      <c r="F36" s="91" t="s">
        <v>319</v>
      </c>
      <c r="H36" s="2"/>
      <c r="M36" s="3"/>
      <c r="N36" s="204" t="s">
        <v>353</v>
      </c>
      <c r="O36" s="223" t="s">
        <v>354</v>
      </c>
      <c r="P36" s="225">
        <f>SQRT(2)*D16/(P27*$P$32)</f>
        <v>0.47762568229003405</v>
      </c>
      <c r="Q36" s="206"/>
      <c r="R36" s="244"/>
      <c r="T36" s="267" t="s">
        <v>355</v>
      </c>
      <c r="U36" s="239"/>
      <c r="V36" s="232"/>
      <c r="W36" s="13"/>
      <c r="X36" s="240"/>
    </row>
    <row r="37" spans="2:24" ht="14.25" customHeight="1">
      <c r="B37" s="188" t="s">
        <v>142</v>
      </c>
      <c r="C37" s="69" t="s">
        <v>143</v>
      </c>
      <c r="D37" s="181">
        <f>D35+D36</f>
        <v>7.575487036129161E-2</v>
      </c>
      <c r="E37" s="71" t="s">
        <v>29</v>
      </c>
      <c r="F37" s="91" t="s">
        <v>356</v>
      </c>
      <c r="H37" s="2"/>
      <c r="M37" s="3"/>
      <c r="N37" s="204" t="s">
        <v>357</v>
      </c>
      <c r="O37" s="223" t="s">
        <v>358</v>
      </c>
      <c r="P37" s="226">
        <f>(1-P33)*LN(1-P33)+(1+P33)*LN(1+P33)-(P33*P33)</f>
        <v>6.5520238887139537E-3</v>
      </c>
      <c r="Q37" s="206"/>
      <c r="R37" s="244"/>
      <c r="T37" s="238" t="s">
        <v>359</v>
      </c>
      <c r="U37" s="239" t="s">
        <v>360</v>
      </c>
      <c r="V37" s="263">
        <f>((P21*'2-Inventory analysis-HTS'!D74*'3.0-HTS Cable design'!V20*'3.0-HTS Cable design'!V20*'3.0-HTS Cable design'!V24)/(4*'3.0-HTS Cable design'!D20))+(J7*'2-Inventory analysis-HTS'!D74*'2-Inventory analysis-HTS'!D71)</f>
        <v>307287.12054388307</v>
      </c>
      <c r="W37" s="13" t="s">
        <v>361</v>
      </c>
      <c r="X37" s="240"/>
    </row>
    <row r="38" spans="2:24" ht="14.25" customHeight="1">
      <c r="B38" s="188" t="s">
        <v>362</v>
      </c>
      <c r="C38" s="69" t="s">
        <v>119</v>
      </c>
      <c r="D38" s="181">
        <f>D37</f>
        <v>7.575487036129161E-2</v>
      </c>
      <c r="E38" s="71" t="s">
        <v>29</v>
      </c>
      <c r="F38" s="91" t="s">
        <v>363</v>
      </c>
      <c r="H38" s="2"/>
      <c r="M38" s="3"/>
      <c r="N38" s="204" t="s">
        <v>364</v>
      </c>
      <c r="O38" s="223" t="s">
        <v>365</v>
      </c>
      <c r="P38" s="226">
        <f t="shared" ref="P38:P40" si="0">(1-P34)*LN(1-P34)+(1+P34)*LN(1+P34)-(P34*P34)</f>
        <v>6.5520238887139537E-3</v>
      </c>
      <c r="Q38" s="206"/>
      <c r="R38" s="244"/>
      <c r="T38" s="238" t="s">
        <v>366</v>
      </c>
      <c r="U38" s="239" t="s">
        <v>367</v>
      </c>
      <c r="V38" s="263">
        <f>((P21*'2-Inventory analysis-HTS'!D74*V21*V21*V25)/(4*D43))+(J7*'2-Inventory analysis-HTS'!D74*'2-Inventory analysis-HTS'!D71)</f>
        <v>459328.13512536272</v>
      </c>
      <c r="W38" s="13" t="s">
        <v>361</v>
      </c>
      <c r="X38" s="240"/>
    </row>
    <row r="39" spans="2:24" ht="14.25" customHeight="1">
      <c r="B39" s="187" t="s">
        <v>368</v>
      </c>
      <c r="C39" s="194" t="s">
        <v>369</v>
      </c>
      <c r="D39" s="195">
        <v>2E-3</v>
      </c>
      <c r="E39" s="196" t="s">
        <v>29</v>
      </c>
      <c r="F39" s="91"/>
      <c r="H39" s="2"/>
      <c r="M39" s="3"/>
      <c r="N39" s="204" t="s">
        <v>370</v>
      </c>
      <c r="O39" s="223" t="s">
        <v>371</v>
      </c>
      <c r="P39" s="226">
        <f t="shared" si="0"/>
        <v>2.8042465182507692E-2</v>
      </c>
      <c r="Q39" s="206"/>
      <c r="R39" s="244"/>
    </row>
    <row r="40" spans="2:24" ht="14.25" customHeight="1">
      <c r="B40" s="188" t="s">
        <v>120</v>
      </c>
      <c r="C40" s="69" t="s">
        <v>121</v>
      </c>
      <c r="D40" s="181">
        <f>D38+D39</f>
        <v>7.7754870361291611E-2</v>
      </c>
      <c r="E40" s="71" t="s">
        <v>29</v>
      </c>
      <c r="F40" s="91" t="s">
        <v>372</v>
      </c>
      <c r="H40" s="2"/>
      <c r="M40" s="3"/>
      <c r="N40" s="204" t="s">
        <v>373</v>
      </c>
      <c r="O40" s="223" t="s">
        <v>374</v>
      </c>
      <c r="P40" s="226">
        <f t="shared" si="0"/>
        <v>9.5780906812839295E-3</v>
      </c>
      <c r="Q40" s="206"/>
      <c r="R40" s="244"/>
    </row>
    <row r="41" spans="2:24" ht="14.25" customHeight="1">
      <c r="B41" s="187" t="s">
        <v>375</v>
      </c>
      <c r="C41" s="194" t="s">
        <v>376</v>
      </c>
      <c r="D41" s="195">
        <v>8.0000000000000004E-4</v>
      </c>
      <c r="E41" s="196" t="s">
        <v>29</v>
      </c>
      <c r="F41" s="182"/>
      <c r="H41" s="2"/>
      <c r="M41" s="3"/>
      <c r="N41" s="204" t="s">
        <v>377</v>
      </c>
      <c r="O41" s="223" t="s">
        <v>378</v>
      </c>
      <c r="P41" s="381">
        <f>P24*$D$6*$J$6*$D$9*$P$32*$P$32*P37/(PI()/COS(P28*PI()/180))</f>
        <v>39667.880013852046</v>
      </c>
      <c r="Q41" s="206" t="s">
        <v>51</v>
      </c>
      <c r="R41" s="244"/>
    </row>
    <row r="42" spans="2:24" ht="14.25" customHeight="1">
      <c r="B42" s="188" t="s">
        <v>156</v>
      </c>
      <c r="C42" s="69" t="s">
        <v>157</v>
      </c>
      <c r="D42" s="181">
        <f>D40+D41</f>
        <v>7.8554870361291607E-2</v>
      </c>
      <c r="E42" s="71" t="s">
        <v>29</v>
      </c>
      <c r="F42" s="182" t="s">
        <v>379</v>
      </c>
      <c r="H42" s="2"/>
      <c r="M42" s="3"/>
      <c r="N42" s="204" t="s">
        <v>380</v>
      </c>
      <c r="O42" s="223" t="s">
        <v>381</v>
      </c>
      <c r="P42" s="381">
        <f>P25*$D$6*$J$6*$D$9*$P$32*$P$32*P38/(PI()/COS(P29*PI()/180))</f>
        <v>39033.382964132747</v>
      </c>
      <c r="Q42" s="206" t="s">
        <v>51</v>
      </c>
      <c r="R42" s="244"/>
    </row>
    <row r="43" spans="2:24" ht="14.25" customHeight="1">
      <c r="B43" s="197" t="s">
        <v>382</v>
      </c>
      <c r="C43" s="198" t="s">
        <v>187</v>
      </c>
      <c r="D43" s="199">
        <f>'2-Inventory analysis-HTS'!D80</f>
        <v>2.7799999999999998E-2</v>
      </c>
      <c r="E43" s="200" t="s">
        <v>29</v>
      </c>
      <c r="F43" s="88"/>
      <c r="H43" s="2"/>
      <c r="M43" s="3"/>
      <c r="N43" s="204" t="s">
        <v>383</v>
      </c>
      <c r="O43" s="223" t="s">
        <v>384</v>
      </c>
      <c r="P43" s="381">
        <f>P26*$D$6*$J$6*$D$9*$P$32*$P$32*P39/(PI()/COS(P30*PI()/180))</f>
        <v>239820.02311614927</v>
      </c>
      <c r="Q43" s="206" t="s">
        <v>51</v>
      </c>
      <c r="R43" s="244"/>
    </row>
    <row r="44" spans="2:24" ht="14.25" customHeight="1">
      <c r="B44" s="188" t="s">
        <v>158</v>
      </c>
      <c r="C44" s="69" t="s">
        <v>159</v>
      </c>
      <c r="D44" s="181">
        <f>D42+D43</f>
        <v>0.1063548703612916</v>
      </c>
      <c r="E44" s="71" t="s">
        <v>29</v>
      </c>
      <c r="F44" s="182" t="s">
        <v>385</v>
      </c>
      <c r="H44" s="2"/>
      <c r="M44" s="3"/>
      <c r="N44" s="204" t="s">
        <v>386</v>
      </c>
      <c r="O44" s="223" t="s">
        <v>387</v>
      </c>
      <c r="P44" s="381">
        <f>P27*$D$6*$J$6*$D$9*$P$32*$P$32*P40/(PI()/COS(P31*PI()/180))</f>
        <v>104717.74146789016</v>
      </c>
      <c r="Q44" s="206" t="s">
        <v>51</v>
      </c>
      <c r="R44" s="244"/>
    </row>
    <row r="45" spans="2:24" ht="14.25" customHeight="1" thickBot="1">
      <c r="B45" s="188" t="s">
        <v>388</v>
      </c>
      <c r="C45" s="69" t="s">
        <v>389</v>
      </c>
      <c r="D45" s="181">
        <f>D44</f>
        <v>0.1063548703612916</v>
      </c>
      <c r="E45" s="71" t="s">
        <v>29</v>
      </c>
      <c r="F45" s="182" t="s">
        <v>390</v>
      </c>
      <c r="H45" s="2"/>
      <c r="M45" s="3"/>
      <c r="N45" s="215" t="s">
        <v>391</v>
      </c>
      <c r="O45" s="224" t="s">
        <v>392</v>
      </c>
      <c r="P45" s="382">
        <f>P41+P42+P43+P44</f>
        <v>423239.02756202425</v>
      </c>
      <c r="Q45" s="218" t="s">
        <v>51</v>
      </c>
      <c r="R45" s="245"/>
    </row>
    <row r="46" spans="2:24" ht="14.25" customHeight="1">
      <c r="B46" s="187" t="s">
        <v>393</v>
      </c>
      <c r="C46" s="194" t="s">
        <v>394</v>
      </c>
      <c r="D46" s="195">
        <v>3.1800000000000002E-2</v>
      </c>
      <c r="E46" s="196" t="s">
        <v>29</v>
      </c>
      <c r="F46" s="182"/>
      <c r="H46" s="2"/>
      <c r="M46" s="3"/>
      <c r="N46" s="267" t="s">
        <v>395</v>
      </c>
      <c r="O46" s="268"/>
      <c r="P46" s="383"/>
      <c r="Q46" s="268"/>
      <c r="R46" s="269"/>
    </row>
    <row r="47" spans="2:24" ht="14.25" customHeight="1" thickBot="1">
      <c r="B47" s="189" t="s">
        <v>396</v>
      </c>
      <c r="C47" s="190" t="s">
        <v>397</v>
      </c>
      <c r="D47" s="191">
        <f>D45+D46</f>
        <v>0.13815487036129159</v>
      </c>
      <c r="E47" s="192" t="s">
        <v>29</v>
      </c>
      <c r="F47" s="193" t="s">
        <v>398</v>
      </c>
      <c r="H47" s="2"/>
      <c r="M47" s="3"/>
      <c r="N47" s="270" t="s">
        <v>24</v>
      </c>
      <c r="O47" s="271" t="s">
        <v>25</v>
      </c>
      <c r="P47" s="384" t="s">
        <v>45</v>
      </c>
      <c r="Q47" s="272" t="s">
        <v>26</v>
      </c>
      <c r="R47" s="273" t="s">
        <v>27</v>
      </c>
    </row>
    <row r="48" spans="2:24" ht="14.25" customHeight="1">
      <c r="H48" s="2"/>
      <c r="M48" s="3"/>
      <c r="N48" s="233" t="s">
        <v>399</v>
      </c>
      <c r="O48" s="234" t="s">
        <v>400</v>
      </c>
      <c r="P48" s="385">
        <f>2*PI()*'2-Inventory analysis-HTS'!$D$58*'3.0-HTS Cable design'!$J$8/LN('3.0-HTS Cable design'!D29/'3.0-HTS Cable design'!D27)</f>
        <v>3.5090615785075981E-10</v>
      </c>
      <c r="Q48" s="209" t="s">
        <v>401</v>
      </c>
      <c r="R48" s="237"/>
    </row>
    <row r="49" spans="2:18" ht="14.25" customHeight="1">
      <c r="B49" s="49"/>
      <c r="C49" s="50"/>
      <c r="D49" s="51"/>
      <c r="E49" s="51"/>
      <c r="F49" s="52"/>
      <c r="H49" s="2"/>
      <c r="M49" s="3"/>
      <c r="N49" s="238" t="s">
        <v>402</v>
      </c>
      <c r="O49" s="239" t="s">
        <v>403</v>
      </c>
      <c r="P49" s="386">
        <f>2*PI()*'2-Inventory analysis-HTS'!$D$58*'3.0-HTS Cable design'!$J$8/LN(D33/D31)</f>
        <v>4.9967812672398026E-10</v>
      </c>
      <c r="Q49" s="206" t="s">
        <v>401</v>
      </c>
      <c r="R49" s="240"/>
    </row>
    <row r="50" spans="2:18" ht="14.25" customHeight="1">
      <c r="H50" s="2"/>
      <c r="M50" s="3"/>
      <c r="N50" s="238" t="s">
        <v>404</v>
      </c>
      <c r="O50" s="239" t="s">
        <v>405</v>
      </c>
      <c r="P50" s="386">
        <f>2*PI()*'2-Inventory analysis-HTS'!$D$58*'3.0-HTS Cable design'!$J$8/LN(D37/D35)</f>
        <v>6.4060616951117144E-10</v>
      </c>
      <c r="Q50" s="206" t="s">
        <v>401</v>
      </c>
      <c r="R50" s="240"/>
    </row>
    <row r="51" spans="2:18" ht="14.25" customHeight="1">
      <c r="H51" s="2"/>
      <c r="M51" s="3"/>
      <c r="N51" s="238" t="s">
        <v>406</v>
      </c>
      <c r="O51" s="239" t="s">
        <v>407</v>
      </c>
      <c r="P51" s="386">
        <f>2*PI()*$D$6*$D$9*P48*$D$8*$D$8*'2-Inventory analysis-HTS'!$D$57</f>
        <v>2304.9949095937286</v>
      </c>
      <c r="Q51" s="206" t="s">
        <v>51</v>
      </c>
      <c r="R51" s="240"/>
    </row>
    <row r="52" spans="2:18" ht="14.25" customHeight="1">
      <c r="H52" s="2"/>
      <c r="M52" s="3"/>
      <c r="N52" s="238" t="s">
        <v>408</v>
      </c>
      <c r="O52" s="239" t="s">
        <v>409</v>
      </c>
      <c r="P52" s="386">
        <f>2*PI()*$D$6*$D$9*P49*$D$8*$D$8*'2-Inventory analysis-HTS'!$D$57</f>
        <v>3282.2323369541587</v>
      </c>
      <c r="Q52" s="206" t="s">
        <v>51</v>
      </c>
      <c r="R52" s="240"/>
    </row>
    <row r="53" spans="2:18" ht="14.25" customHeight="1">
      <c r="H53" s="2"/>
      <c r="M53" s="3"/>
      <c r="N53" s="238" t="s">
        <v>410</v>
      </c>
      <c r="O53" s="239" t="s">
        <v>411</v>
      </c>
      <c r="P53" s="386">
        <f>2*PI()*$D$6*$D$9*P50*$D$8*$D$8*'2-Inventory analysis-HTS'!$D$57</f>
        <v>4207.9454199991033</v>
      </c>
      <c r="Q53" s="206" t="s">
        <v>51</v>
      </c>
      <c r="R53" s="240"/>
    </row>
    <row r="54" spans="2:18" ht="14.25" customHeight="1" thickBot="1">
      <c r="H54" s="2"/>
      <c r="M54" s="3"/>
      <c r="N54" s="264" t="s">
        <v>412</v>
      </c>
      <c r="O54" s="265" t="s">
        <v>413</v>
      </c>
      <c r="P54" s="387">
        <f>P51+P52+P53</f>
        <v>9795.1726665469905</v>
      </c>
      <c r="Q54" s="218" t="s">
        <v>51</v>
      </c>
      <c r="R54" s="266"/>
    </row>
    <row r="55" spans="2:18" ht="14.25" customHeight="1">
      <c r="H55" s="2"/>
      <c r="M55" s="3"/>
      <c r="N55" s="267" t="s">
        <v>414</v>
      </c>
      <c r="O55" s="268"/>
      <c r="P55" s="383"/>
      <c r="Q55" s="268"/>
      <c r="R55" s="269"/>
    </row>
    <row r="56" spans="2:18" ht="14.25" customHeight="1" thickBot="1">
      <c r="H56" s="2"/>
      <c r="M56" s="3"/>
      <c r="N56" s="270" t="s">
        <v>24</v>
      </c>
      <c r="O56" s="271" t="s">
        <v>25</v>
      </c>
      <c r="P56" s="384" t="s">
        <v>45</v>
      </c>
      <c r="Q56" s="272" t="s">
        <v>26</v>
      </c>
      <c r="R56" s="273" t="s">
        <v>27</v>
      </c>
    </row>
    <row r="57" spans="2:18" ht="14.25" customHeight="1" thickBot="1">
      <c r="H57" s="2"/>
      <c r="M57" s="3"/>
      <c r="N57" s="259" t="s">
        <v>415</v>
      </c>
      <c r="O57" s="260" t="s">
        <v>416</v>
      </c>
      <c r="P57" s="388">
        <f>D6*2*PI()*'2-Inventory analysis-HTS'!D88*('2-Inventory analysis-HTS'!D11-'2-Inventory analysis-HTS'!D77)/LN(D47/D45)</f>
        <v>71556.946665812837</v>
      </c>
      <c r="Q57" s="261" t="s">
        <v>51</v>
      </c>
      <c r="R57" s="262"/>
    </row>
    <row r="58" spans="2:18" ht="14.25" customHeight="1">
      <c r="H58" s="2"/>
      <c r="M58" s="3"/>
      <c r="N58" s="267" t="s">
        <v>417</v>
      </c>
      <c r="O58" s="268"/>
      <c r="P58" s="383"/>
      <c r="Q58" s="268"/>
      <c r="R58" s="269"/>
    </row>
    <row r="59" spans="2:18" ht="14.25" customHeight="1" thickBot="1">
      <c r="H59" s="2"/>
      <c r="M59" s="3"/>
      <c r="N59" s="270" t="s">
        <v>24</v>
      </c>
      <c r="O59" s="271" t="s">
        <v>25</v>
      </c>
      <c r="P59" s="384" t="s">
        <v>45</v>
      </c>
      <c r="Q59" s="272" t="s">
        <v>26</v>
      </c>
      <c r="R59" s="273" t="s">
        <v>27</v>
      </c>
    </row>
    <row r="60" spans="2:18" ht="14.25" customHeight="1" thickBot="1">
      <c r="H60" s="2"/>
      <c r="M60" s="3"/>
      <c r="N60" s="259" t="s">
        <v>418</v>
      </c>
      <c r="O60" s="260" t="s">
        <v>419</v>
      </c>
      <c r="P60" s="388">
        <f>D6*SQRT(2)*D12*'2-Inventory analysis-HTS'!D43/1000</f>
        <v>31253.457643166555</v>
      </c>
      <c r="Q60" s="261" t="s">
        <v>51</v>
      </c>
      <c r="R60" s="262"/>
    </row>
    <row r="61" spans="2:18" ht="14.25" customHeight="1">
      <c r="H61" s="2"/>
      <c r="M61" s="3"/>
      <c r="N61" s="267" t="s">
        <v>420</v>
      </c>
      <c r="O61" s="268"/>
      <c r="P61" s="383"/>
      <c r="Q61" s="268"/>
      <c r="R61" s="269"/>
    </row>
    <row r="62" spans="2:18" ht="14.25" customHeight="1" thickBot="1">
      <c r="H62" s="2"/>
      <c r="M62" s="3"/>
      <c r="N62" s="270" t="s">
        <v>24</v>
      </c>
      <c r="O62" s="271" t="s">
        <v>25</v>
      </c>
      <c r="P62" s="384" t="s">
        <v>45</v>
      </c>
      <c r="Q62" s="272" t="s">
        <v>26</v>
      </c>
      <c r="R62" s="273" t="s">
        <v>27</v>
      </c>
    </row>
    <row r="63" spans="2:18" ht="14.25" customHeight="1" thickBot="1">
      <c r="H63" s="2"/>
      <c r="M63" s="3"/>
      <c r="N63" s="259" t="s">
        <v>421</v>
      </c>
      <c r="O63" s="260" t="s">
        <v>422</v>
      </c>
      <c r="P63" s="388">
        <f>D12*SQRT(2)*'2-Inventory analysis-HTS'!D95*'2-Inventory analysis-HTS'!D96/1000</f>
        <v>5274.0209772843573</v>
      </c>
      <c r="Q63" s="261" t="s">
        <v>51</v>
      </c>
      <c r="R63" s="262"/>
    </row>
    <row r="64" spans="2:18" ht="14.25" customHeight="1">
      <c r="H64" s="2"/>
      <c r="M64" s="3"/>
      <c r="N64" s="267" t="s">
        <v>423</v>
      </c>
      <c r="O64" s="268"/>
      <c r="P64" s="383"/>
      <c r="Q64" s="268"/>
      <c r="R64" s="269"/>
    </row>
    <row r="65" spans="8:18" ht="14.25" customHeight="1" thickBot="1">
      <c r="H65" s="2"/>
      <c r="M65" s="3"/>
      <c r="N65" s="270" t="s">
        <v>24</v>
      </c>
      <c r="O65" s="271" t="s">
        <v>25</v>
      </c>
      <c r="P65" s="384" t="s">
        <v>45</v>
      </c>
      <c r="Q65" s="272" t="s">
        <v>26</v>
      </c>
      <c r="R65" s="273" t="s">
        <v>27</v>
      </c>
    </row>
    <row r="66" spans="8:18" ht="14.25" customHeight="1" thickBot="1">
      <c r="H66" s="2"/>
      <c r="M66" s="3"/>
      <c r="N66" s="259" t="s">
        <v>423</v>
      </c>
      <c r="O66" s="260" t="s">
        <v>424</v>
      </c>
      <c r="P66" s="388">
        <f>P45+P54+P57+P60+P63</f>
        <v>541118.625514835</v>
      </c>
      <c r="Q66" s="261" t="s">
        <v>51</v>
      </c>
      <c r="R66" s="262"/>
    </row>
    <row r="67" spans="8:18" ht="14.25" customHeight="1">
      <c r="H67" s="2"/>
      <c r="M67" s="3"/>
      <c r="N67" s="267" t="s">
        <v>425</v>
      </c>
      <c r="O67" s="268"/>
      <c r="P67" s="383"/>
      <c r="Q67" s="268"/>
      <c r="R67" s="269"/>
    </row>
    <row r="68" spans="8:18" ht="14.25" customHeight="1" thickBot="1">
      <c r="H68" s="2"/>
      <c r="M68" s="3"/>
      <c r="N68" s="270" t="s">
        <v>24</v>
      </c>
      <c r="O68" s="271" t="s">
        <v>25</v>
      </c>
      <c r="P68" s="384" t="s">
        <v>45</v>
      </c>
      <c r="Q68" s="272" t="s">
        <v>26</v>
      </c>
      <c r="R68" s="273" t="s">
        <v>27</v>
      </c>
    </row>
    <row r="69" spans="8:18" ht="14.25" customHeight="1">
      <c r="H69" s="2"/>
      <c r="M69" s="3"/>
      <c r="N69" s="275" t="s">
        <v>426</v>
      </c>
      <c r="O69" s="276" t="s">
        <v>427</v>
      </c>
      <c r="P69" s="389">
        <f>((P45/2)+(P54/2)+(P60/2))*(1/(P20+1))</f>
        <v>38690.638155978144</v>
      </c>
      <c r="Q69" s="277" t="s">
        <v>51</v>
      </c>
      <c r="R69" s="278"/>
    </row>
    <row r="70" spans="8:18" ht="14.25" customHeight="1">
      <c r="H70" s="2"/>
      <c r="M70" s="3"/>
      <c r="N70" s="188" t="s">
        <v>428</v>
      </c>
      <c r="O70" s="69" t="s">
        <v>429</v>
      </c>
      <c r="P70" s="390">
        <f>((P45/2)+(P54/2)+(P60/2)+P57)*(1/(P20+1))</f>
        <v>50616.795933613619</v>
      </c>
      <c r="Q70" s="71" t="s">
        <v>51</v>
      </c>
      <c r="R70" s="274"/>
    </row>
    <row r="71" spans="8:18" ht="14.25" customHeight="1" thickBot="1">
      <c r="H71" s="2"/>
      <c r="M71" s="3"/>
      <c r="N71" s="189" t="s">
        <v>430</v>
      </c>
      <c r="O71" s="190" t="s">
        <v>431</v>
      </c>
      <c r="P71" s="391">
        <f>P63/2</f>
        <v>2637.0104886421786</v>
      </c>
      <c r="Q71" s="192" t="s">
        <v>51</v>
      </c>
      <c r="R71" s="279"/>
    </row>
    <row r="72" spans="8:18" ht="14.25" customHeight="1">
      <c r="H72" s="2"/>
      <c r="M72" s="3"/>
      <c r="N72" s="3"/>
      <c r="Q72" s="3"/>
    </row>
    <row r="73" spans="8:18" ht="14.25" customHeight="1">
      <c r="H73" s="2"/>
      <c r="M73" s="3"/>
    </row>
    <row r="74" spans="8:18" ht="14.25" customHeight="1">
      <c r="H74" s="2"/>
      <c r="M74" s="3"/>
    </row>
    <row r="75" spans="8:18" ht="14.25" customHeight="1">
      <c r="H75" s="2"/>
      <c r="M75" s="3"/>
    </row>
    <row r="76" spans="8:18" ht="14.25" customHeight="1">
      <c r="H76" s="2"/>
      <c r="M76" s="3"/>
    </row>
    <row r="77" spans="8:18" ht="14.25" customHeight="1">
      <c r="H77" s="2"/>
      <c r="M77" s="3"/>
    </row>
    <row r="78" spans="8:18" ht="14.25" customHeight="1">
      <c r="H78" s="2"/>
      <c r="M78" s="3"/>
    </row>
    <row r="79" spans="8:18" ht="14.25" customHeight="1">
      <c r="H79" s="2"/>
      <c r="M79" s="3"/>
    </row>
    <row r="80" spans="8:18" ht="14.25" customHeight="1">
      <c r="H80" s="2"/>
      <c r="M80" s="3"/>
    </row>
    <row r="81" spans="8:13" ht="14.25" customHeight="1">
      <c r="H81" s="2"/>
      <c r="M81" s="3"/>
    </row>
    <row r="82" spans="8:13" ht="14.25" customHeight="1">
      <c r="H82" s="2"/>
      <c r="M82" s="3"/>
    </row>
    <row r="83" spans="8:13" ht="14.25" customHeight="1">
      <c r="H83" s="2"/>
      <c r="M83" s="3"/>
    </row>
    <row r="84" spans="8:13" ht="14.25" customHeight="1">
      <c r="H84" s="2"/>
      <c r="M84" s="3"/>
    </row>
    <row r="85" spans="8:13" ht="14.25" customHeight="1">
      <c r="H85" s="2"/>
      <c r="M85" s="3"/>
    </row>
    <row r="86" spans="8:13" ht="14.25" customHeight="1">
      <c r="H86" s="2"/>
      <c r="M86" s="3"/>
    </row>
    <row r="87" spans="8:13" ht="14.25" customHeight="1">
      <c r="H87" s="2"/>
      <c r="M87" s="3"/>
    </row>
    <row r="88" spans="8:13" ht="14.25" customHeight="1">
      <c r="H88" s="2"/>
      <c r="M88" s="3"/>
    </row>
    <row r="89" spans="8:13" ht="14.25" customHeight="1">
      <c r="H89" s="2"/>
      <c r="M89" s="3"/>
    </row>
    <row r="90" spans="8:13" ht="14.25" customHeight="1">
      <c r="H90" s="2"/>
      <c r="M90" s="3"/>
    </row>
    <row r="91" spans="8:13" ht="14.25" customHeight="1">
      <c r="H91" s="2"/>
      <c r="M91" s="3"/>
    </row>
    <row r="92" spans="8:13" ht="14.25" customHeight="1">
      <c r="H92" s="2"/>
      <c r="M92" s="3"/>
    </row>
    <row r="93" spans="8:13" ht="14.25" customHeight="1">
      <c r="H93" s="2"/>
      <c r="M93" s="3"/>
    </row>
    <row r="94" spans="8:13" ht="14.25" customHeight="1">
      <c r="H94" s="2"/>
      <c r="M94" s="3"/>
    </row>
    <row r="95" spans="8:13" ht="14.25" customHeight="1">
      <c r="H95" s="2"/>
      <c r="M95" s="3"/>
    </row>
    <row r="96" spans="8:13" ht="14.25" customHeight="1">
      <c r="H96" s="2"/>
      <c r="M96" s="3"/>
    </row>
    <row r="97" spans="8:13" ht="14.25" customHeight="1">
      <c r="H97" s="2"/>
      <c r="M97" s="3"/>
    </row>
    <row r="98" spans="8:13" ht="14.25" customHeight="1">
      <c r="H98" s="2"/>
      <c r="M98" s="3"/>
    </row>
    <row r="99" spans="8:13" ht="14.25" customHeight="1">
      <c r="H99" s="2"/>
      <c r="M99" s="3"/>
    </row>
    <row r="100" spans="8:13" ht="14.25" customHeight="1">
      <c r="H100" s="2"/>
      <c r="M100" s="3"/>
    </row>
    <row r="101" spans="8:13" ht="14.25" customHeight="1">
      <c r="H101" s="2"/>
      <c r="M101" s="3"/>
    </row>
    <row r="102" spans="8:13" ht="14.25" customHeight="1">
      <c r="H102" s="2"/>
      <c r="M102" s="3"/>
    </row>
    <row r="103" spans="8:13" ht="14.25" customHeight="1">
      <c r="H103" s="2"/>
      <c r="M103" s="3"/>
    </row>
    <row r="104" spans="8:13" ht="14.25" customHeight="1">
      <c r="H104" s="2"/>
      <c r="M104" s="3"/>
    </row>
    <row r="105" spans="8:13" ht="14.25" customHeight="1">
      <c r="H105" s="2"/>
      <c r="M105" s="3"/>
    </row>
    <row r="106" spans="8:13" ht="14.25" customHeight="1">
      <c r="H106" s="2"/>
      <c r="M106" s="3"/>
    </row>
    <row r="107" spans="8:13" ht="14.25" customHeight="1">
      <c r="H107" s="2"/>
      <c r="M107" s="3"/>
    </row>
    <row r="108" spans="8:13" ht="14.25" customHeight="1">
      <c r="H108" s="2"/>
      <c r="M108" s="3"/>
    </row>
    <row r="109" spans="8:13" ht="14.25" customHeight="1">
      <c r="H109" s="2"/>
      <c r="M109" s="3"/>
    </row>
    <row r="110" spans="8:13" ht="14.25" customHeight="1">
      <c r="H110" s="2"/>
      <c r="M110" s="3"/>
    </row>
    <row r="111" spans="8:13" ht="14.25" customHeight="1">
      <c r="H111" s="2"/>
      <c r="M111" s="3"/>
    </row>
    <row r="112" spans="8:13" ht="14.25" customHeight="1">
      <c r="H112" s="2"/>
      <c r="M112" s="3"/>
    </row>
    <row r="113" spans="8:17" ht="14.25" customHeight="1">
      <c r="H113" s="2"/>
      <c r="M113" s="3"/>
    </row>
    <row r="114" spans="8:17" ht="14.25" customHeight="1">
      <c r="H114" s="2"/>
      <c r="M114" s="3"/>
    </row>
    <row r="115" spans="8:17" ht="14.25" customHeight="1">
      <c r="H115" s="2"/>
      <c r="M115" s="3"/>
    </row>
    <row r="116" spans="8:17" ht="14.25" customHeight="1">
      <c r="H116" s="2"/>
      <c r="M116" s="3"/>
    </row>
    <row r="117" spans="8:17" ht="14.25" customHeight="1">
      <c r="H117" s="2"/>
      <c r="M117" s="3"/>
    </row>
    <row r="118" spans="8:17" ht="14.25" customHeight="1">
      <c r="H118" s="2"/>
      <c r="M118" s="3"/>
    </row>
    <row r="119" spans="8:17" ht="14.25" customHeight="1">
      <c r="H119" s="2"/>
      <c r="M119" s="3"/>
    </row>
    <row r="120" spans="8:17" ht="14.25" customHeight="1">
      <c r="H120" s="2"/>
      <c r="M120" s="3"/>
    </row>
    <row r="121" spans="8:17" ht="14.25" customHeight="1">
      <c r="H121" s="2"/>
      <c r="M121" s="3"/>
    </row>
    <row r="122" spans="8:17" ht="14.25" customHeight="1">
      <c r="H122" s="2"/>
      <c r="M122" s="3"/>
    </row>
    <row r="123" spans="8:17" ht="14.25" customHeight="1">
      <c r="H123" s="2"/>
      <c r="M123" s="3"/>
      <c r="N123" s="3"/>
      <c r="Q123" s="3"/>
    </row>
    <row r="124" spans="8:17" ht="14.25" customHeight="1">
      <c r="H124" s="2"/>
      <c r="M124" s="3"/>
      <c r="N124" s="3"/>
      <c r="Q124" s="3"/>
    </row>
    <row r="125" spans="8:17" ht="14.25" customHeight="1">
      <c r="H125" s="2"/>
      <c r="M125" s="3"/>
      <c r="N125" s="3"/>
      <c r="Q125" s="3"/>
    </row>
    <row r="126" spans="8:17" ht="14.25" customHeight="1">
      <c r="H126" s="2"/>
      <c r="M126" s="3"/>
      <c r="N126" s="3"/>
      <c r="Q126" s="3"/>
    </row>
    <row r="127" spans="8:17" ht="14.25" customHeight="1">
      <c r="H127" s="2"/>
      <c r="M127" s="3"/>
      <c r="N127" s="3"/>
      <c r="Q127" s="3"/>
    </row>
    <row r="128" spans="8:17" ht="14.25" customHeight="1">
      <c r="H128" s="2"/>
      <c r="M128" s="3"/>
      <c r="N128" s="3"/>
      <c r="Q128" s="3"/>
    </row>
    <row r="129" spans="8:17" ht="14.25" customHeight="1">
      <c r="H129" s="2"/>
      <c r="M129" s="3"/>
      <c r="N129" s="3"/>
      <c r="Q129" s="3"/>
    </row>
    <row r="130" spans="8:17" ht="14.25" customHeight="1">
      <c r="H130" s="2"/>
      <c r="M130" s="3"/>
      <c r="N130" s="3"/>
      <c r="Q130" s="3"/>
    </row>
    <row r="131" spans="8:17" ht="14.25" customHeight="1">
      <c r="H131" s="2"/>
      <c r="M131" s="3"/>
      <c r="N131" s="3"/>
      <c r="Q131" s="3"/>
    </row>
    <row r="132" spans="8:17" ht="14.25" customHeight="1">
      <c r="H132" s="2"/>
      <c r="M132" s="3"/>
      <c r="N132" s="3"/>
      <c r="Q132" s="3"/>
    </row>
    <row r="133" spans="8:17" ht="14.25" customHeight="1">
      <c r="H133" s="2"/>
      <c r="M133" s="3"/>
      <c r="N133" s="3"/>
      <c r="Q133" s="3"/>
    </row>
    <row r="134" spans="8:17" ht="14.25" customHeight="1">
      <c r="H134" s="2"/>
      <c r="M134" s="3"/>
      <c r="N134" s="3"/>
      <c r="Q134" s="3"/>
    </row>
    <row r="135" spans="8:17" ht="14.25" customHeight="1">
      <c r="H135" s="2"/>
      <c r="M135" s="3"/>
      <c r="N135" s="3"/>
      <c r="Q135" s="3"/>
    </row>
    <row r="136" spans="8:17" ht="14.25" customHeight="1">
      <c r="H136" s="2"/>
      <c r="M136" s="3"/>
      <c r="N136" s="3"/>
      <c r="Q136" s="3"/>
    </row>
    <row r="137" spans="8:17" ht="14.25" customHeight="1">
      <c r="H137" s="2"/>
      <c r="M137" s="3"/>
      <c r="N137" s="3"/>
      <c r="Q137" s="3"/>
    </row>
    <row r="138" spans="8:17" ht="14.25" customHeight="1">
      <c r="H138" s="2"/>
      <c r="M138" s="3"/>
      <c r="N138" s="3"/>
      <c r="Q138" s="3"/>
    </row>
    <row r="139" spans="8:17" ht="14.25" customHeight="1">
      <c r="H139" s="2"/>
      <c r="M139" s="3"/>
      <c r="N139" s="3"/>
      <c r="Q139" s="3"/>
    </row>
    <row r="140" spans="8:17" ht="14.25" customHeight="1">
      <c r="H140" s="2"/>
      <c r="M140" s="3"/>
      <c r="N140" s="3"/>
      <c r="Q140" s="3"/>
    </row>
    <row r="141" spans="8:17" ht="14.25" customHeight="1">
      <c r="H141" s="2"/>
      <c r="M141" s="3"/>
      <c r="N141" s="3"/>
      <c r="Q141" s="3"/>
    </row>
    <row r="142" spans="8:17" ht="14.25" customHeight="1">
      <c r="H142" s="2"/>
      <c r="M142" s="3"/>
      <c r="N142" s="3"/>
      <c r="Q142" s="3"/>
    </row>
    <row r="143" spans="8:17" ht="14.25" customHeight="1">
      <c r="H143" s="2"/>
      <c r="M143" s="3"/>
      <c r="N143" s="3"/>
      <c r="Q143" s="3"/>
    </row>
    <row r="144" spans="8:17" ht="14.25" customHeight="1">
      <c r="H144" s="2"/>
      <c r="M144" s="3"/>
      <c r="N144" s="3"/>
      <c r="Q144" s="3"/>
    </row>
    <row r="145" spans="8:17" ht="14.25" customHeight="1">
      <c r="H145" s="2"/>
      <c r="M145" s="3"/>
      <c r="N145" s="3"/>
      <c r="Q145" s="3"/>
    </row>
    <row r="146" spans="8:17" ht="14.25" customHeight="1">
      <c r="H146" s="2"/>
      <c r="M146" s="3"/>
      <c r="N146" s="3"/>
      <c r="Q146" s="3"/>
    </row>
    <row r="147" spans="8:17" ht="14.25" customHeight="1">
      <c r="H147" s="2"/>
      <c r="M147" s="3"/>
      <c r="N147" s="3"/>
      <c r="Q147" s="3"/>
    </row>
    <row r="148" spans="8:17" ht="14.25" customHeight="1">
      <c r="H148" s="2"/>
      <c r="M148" s="3"/>
      <c r="N148" s="3"/>
      <c r="Q148" s="3"/>
    </row>
    <row r="149" spans="8:17" ht="14.25" customHeight="1">
      <c r="H149" s="2"/>
      <c r="M149" s="3"/>
      <c r="N149" s="3"/>
      <c r="Q149" s="3"/>
    </row>
    <row r="150" spans="8:17" ht="14.25" customHeight="1">
      <c r="H150" s="2"/>
      <c r="M150" s="3"/>
      <c r="N150" s="3"/>
      <c r="Q150" s="3"/>
    </row>
    <row r="151" spans="8:17" ht="14.25" customHeight="1">
      <c r="H151" s="2"/>
      <c r="M151" s="3"/>
      <c r="N151" s="3"/>
      <c r="Q151" s="3"/>
    </row>
    <row r="152" spans="8:17" ht="14.25" customHeight="1">
      <c r="H152" s="2"/>
      <c r="M152" s="3"/>
      <c r="N152" s="3"/>
      <c r="Q152" s="3"/>
    </row>
    <row r="153" spans="8:17" ht="14.25" customHeight="1">
      <c r="H153" s="2"/>
      <c r="M153" s="3"/>
      <c r="N153" s="3"/>
      <c r="Q153" s="3"/>
    </row>
    <row r="154" spans="8:17" ht="14.25" customHeight="1">
      <c r="H154" s="2"/>
      <c r="M154" s="3"/>
      <c r="N154" s="3"/>
      <c r="Q154" s="3"/>
    </row>
    <row r="155" spans="8:17" ht="14.25" customHeight="1">
      <c r="H155" s="2"/>
      <c r="M155" s="3"/>
      <c r="N155" s="3"/>
      <c r="Q155" s="3"/>
    </row>
    <row r="156" spans="8:17" ht="14.25" customHeight="1">
      <c r="H156" s="2"/>
      <c r="M156" s="3"/>
      <c r="N156" s="3"/>
      <c r="Q156" s="3"/>
    </row>
    <row r="157" spans="8:17" ht="14.25" customHeight="1">
      <c r="H157" s="2"/>
      <c r="M157" s="3"/>
      <c r="N157" s="3"/>
      <c r="Q157" s="3"/>
    </row>
    <row r="158" spans="8:17" ht="14.25" customHeight="1">
      <c r="H158" s="2"/>
      <c r="M158" s="3"/>
      <c r="N158" s="3"/>
      <c r="Q158" s="3"/>
    </row>
    <row r="159" spans="8:17" ht="14.25" customHeight="1">
      <c r="H159" s="2"/>
      <c r="M159" s="3"/>
      <c r="N159" s="3"/>
      <c r="Q159" s="3"/>
    </row>
    <row r="160" spans="8:17" ht="14.25" customHeight="1">
      <c r="H160" s="2"/>
      <c r="M160" s="3"/>
      <c r="N160" s="3"/>
      <c r="Q160" s="3"/>
    </row>
    <row r="161" spans="8:17" ht="14.25" customHeight="1">
      <c r="H161" s="2"/>
      <c r="M161" s="3"/>
      <c r="N161" s="3"/>
      <c r="Q161" s="3"/>
    </row>
    <row r="162" spans="8:17" ht="14.25" customHeight="1">
      <c r="H162" s="2"/>
      <c r="M162" s="3"/>
      <c r="N162" s="3"/>
      <c r="Q162" s="3"/>
    </row>
    <row r="163" spans="8:17" ht="14.25" customHeight="1">
      <c r="H163" s="2"/>
      <c r="M163" s="3"/>
      <c r="N163" s="3"/>
      <c r="Q163" s="3"/>
    </row>
    <row r="164" spans="8:17" ht="14.25" customHeight="1">
      <c r="H164" s="2"/>
      <c r="M164" s="3"/>
      <c r="N164" s="3"/>
      <c r="Q164" s="3"/>
    </row>
    <row r="165" spans="8:17" ht="14.25" customHeight="1">
      <c r="H165" s="2"/>
      <c r="M165" s="3"/>
      <c r="N165" s="3"/>
      <c r="Q165" s="3"/>
    </row>
    <row r="166" spans="8:17" ht="14.25" customHeight="1">
      <c r="H166" s="2"/>
      <c r="M166" s="3"/>
      <c r="N166" s="3"/>
      <c r="Q166" s="3"/>
    </row>
    <row r="167" spans="8:17" ht="14.25" customHeight="1">
      <c r="H167" s="2"/>
      <c r="M167" s="3"/>
      <c r="N167" s="3"/>
      <c r="Q167" s="3"/>
    </row>
    <row r="168" spans="8:17" ht="14.25" customHeight="1">
      <c r="H168" s="2"/>
      <c r="M168" s="3"/>
      <c r="N168" s="3"/>
      <c r="Q168" s="3"/>
    </row>
    <row r="169" spans="8:17" ht="14.25" customHeight="1">
      <c r="H169" s="2"/>
      <c r="M169" s="3"/>
      <c r="N169" s="3"/>
      <c r="Q169" s="3"/>
    </row>
    <row r="170" spans="8:17" ht="14.25" customHeight="1">
      <c r="H170" s="2"/>
      <c r="M170" s="3"/>
      <c r="N170" s="3"/>
      <c r="Q170" s="3"/>
    </row>
    <row r="171" spans="8:17" ht="14.25" customHeight="1">
      <c r="H171" s="2"/>
      <c r="M171" s="3"/>
      <c r="N171" s="3"/>
      <c r="Q171" s="3"/>
    </row>
    <row r="172" spans="8:17" ht="14.25" customHeight="1">
      <c r="H172" s="2"/>
      <c r="M172" s="3"/>
      <c r="N172" s="3"/>
      <c r="Q172" s="3"/>
    </row>
    <row r="173" spans="8:17" ht="14.25" customHeight="1">
      <c r="H173" s="2"/>
      <c r="M173" s="3"/>
      <c r="N173" s="3"/>
      <c r="Q173" s="3"/>
    </row>
    <row r="174" spans="8:17" ht="14.25" customHeight="1">
      <c r="H174" s="2"/>
      <c r="M174" s="3"/>
      <c r="N174" s="3"/>
      <c r="Q174" s="3"/>
    </row>
    <row r="175" spans="8:17" ht="14.25" customHeight="1">
      <c r="H175" s="2"/>
      <c r="M175" s="3"/>
      <c r="N175" s="3"/>
      <c r="Q175" s="3"/>
    </row>
    <row r="176" spans="8:17" ht="14.25" customHeight="1">
      <c r="H176" s="2"/>
      <c r="M176" s="3"/>
      <c r="N176" s="3"/>
      <c r="Q176" s="3"/>
    </row>
    <row r="177" spans="8:17" ht="14.25" customHeight="1">
      <c r="H177" s="2"/>
      <c r="M177" s="3"/>
      <c r="N177" s="3"/>
      <c r="Q177" s="3"/>
    </row>
    <row r="178" spans="8:17" ht="14.25" customHeight="1">
      <c r="H178" s="2"/>
      <c r="M178" s="3"/>
      <c r="N178" s="3"/>
      <c r="Q178" s="3"/>
    </row>
    <row r="179" spans="8:17" ht="14.25" customHeight="1">
      <c r="H179" s="2"/>
      <c r="M179" s="3"/>
      <c r="N179" s="3"/>
      <c r="Q179" s="3"/>
    </row>
    <row r="180" spans="8:17" ht="14.25" customHeight="1">
      <c r="H180" s="2"/>
      <c r="M180" s="3"/>
      <c r="N180" s="3"/>
      <c r="Q180" s="3"/>
    </row>
    <row r="181" spans="8:17" ht="14.25" customHeight="1">
      <c r="H181" s="2"/>
      <c r="M181" s="3"/>
      <c r="N181" s="3"/>
      <c r="Q181" s="3"/>
    </row>
    <row r="182" spans="8:17" ht="14.25" customHeight="1">
      <c r="H182" s="2"/>
      <c r="M182" s="3"/>
      <c r="N182" s="3"/>
      <c r="Q182" s="3"/>
    </row>
    <row r="183" spans="8:17" ht="14.25" customHeight="1">
      <c r="H183" s="2"/>
      <c r="M183" s="3"/>
      <c r="N183" s="3"/>
      <c r="Q183" s="3"/>
    </row>
    <row r="184" spans="8:17" ht="14.25" customHeight="1">
      <c r="H184" s="2"/>
      <c r="M184" s="3"/>
      <c r="N184" s="3"/>
      <c r="Q184" s="3"/>
    </row>
    <row r="185" spans="8:17" ht="14.25" customHeight="1">
      <c r="H185" s="2"/>
      <c r="M185" s="3"/>
      <c r="N185" s="3"/>
      <c r="Q185" s="3"/>
    </row>
    <row r="186" spans="8:17" ht="14.25" customHeight="1">
      <c r="H186" s="2"/>
      <c r="M186" s="3"/>
      <c r="N186" s="3"/>
      <c r="Q186" s="3"/>
    </row>
    <row r="187" spans="8:17" ht="14.25" customHeight="1">
      <c r="H187" s="2"/>
      <c r="M187" s="3"/>
      <c r="N187" s="3"/>
      <c r="Q187" s="3"/>
    </row>
    <row r="188" spans="8:17" ht="14.25" customHeight="1">
      <c r="H188" s="2"/>
      <c r="M188" s="3"/>
      <c r="N188" s="3"/>
      <c r="Q188" s="3"/>
    </row>
    <row r="189" spans="8:17" ht="14.25" customHeight="1">
      <c r="H189" s="2"/>
      <c r="M189" s="3"/>
      <c r="N189" s="3"/>
      <c r="Q189" s="3"/>
    </row>
    <row r="190" spans="8:17" ht="14.25" customHeight="1">
      <c r="H190" s="2"/>
      <c r="M190" s="3"/>
      <c r="N190" s="3"/>
      <c r="Q190" s="3"/>
    </row>
    <row r="191" spans="8:17" ht="14.25" customHeight="1">
      <c r="H191" s="2"/>
      <c r="M191" s="3"/>
      <c r="N191" s="3"/>
      <c r="Q191" s="3"/>
    </row>
    <row r="192" spans="8:17" ht="14.25" customHeight="1">
      <c r="H192" s="2"/>
      <c r="M192" s="3"/>
      <c r="N192" s="3"/>
      <c r="Q192" s="3"/>
    </row>
    <row r="193" spans="8:17" ht="14.25" customHeight="1">
      <c r="H193" s="2"/>
      <c r="M193" s="3"/>
      <c r="N193" s="3"/>
      <c r="Q193" s="3"/>
    </row>
    <row r="194" spans="8:17" ht="14.25" customHeight="1">
      <c r="H194" s="2"/>
      <c r="M194" s="3"/>
      <c r="N194" s="3"/>
      <c r="Q194" s="3"/>
    </row>
    <row r="195" spans="8:17" ht="14.25" customHeight="1">
      <c r="H195" s="2"/>
      <c r="M195" s="3"/>
      <c r="N195" s="3"/>
      <c r="Q195" s="3"/>
    </row>
    <row r="196" spans="8:17" ht="14.25" customHeight="1">
      <c r="H196" s="2"/>
      <c r="M196" s="3"/>
      <c r="N196" s="3"/>
      <c r="Q196" s="3"/>
    </row>
    <row r="197" spans="8:17" ht="14.25" customHeight="1">
      <c r="H197" s="2"/>
      <c r="M197" s="3"/>
      <c r="N197" s="3"/>
      <c r="Q197" s="3"/>
    </row>
    <row r="198" spans="8:17" ht="14.25" customHeight="1">
      <c r="H198" s="2"/>
      <c r="M198" s="3"/>
      <c r="N198" s="3"/>
      <c r="Q198" s="3"/>
    </row>
    <row r="199" spans="8:17" ht="14.25" customHeight="1">
      <c r="H199" s="2"/>
      <c r="M199" s="3"/>
      <c r="N199" s="3"/>
      <c r="Q199" s="3"/>
    </row>
    <row r="200" spans="8:17" ht="14.25" customHeight="1">
      <c r="H200" s="2"/>
      <c r="M200" s="3"/>
      <c r="N200" s="3"/>
      <c r="Q200" s="3"/>
    </row>
    <row r="201" spans="8:17" ht="14.25" customHeight="1">
      <c r="H201" s="2"/>
      <c r="M201" s="3"/>
      <c r="N201" s="3"/>
      <c r="Q201" s="3"/>
    </row>
    <row r="202" spans="8:17" ht="14.25" customHeight="1">
      <c r="H202" s="2"/>
      <c r="M202" s="3"/>
      <c r="N202" s="3"/>
      <c r="Q202" s="3"/>
    </row>
    <row r="203" spans="8:17" ht="14.25" customHeight="1">
      <c r="H203" s="2"/>
      <c r="M203" s="3"/>
      <c r="N203" s="3"/>
      <c r="Q203" s="3"/>
    </row>
    <row r="204" spans="8:17" ht="14.25" customHeight="1">
      <c r="H204" s="2"/>
      <c r="M204" s="3"/>
      <c r="N204" s="3"/>
      <c r="Q204" s="3"/>
    </row>
    <row r="205" spans="8:17" ht="14.25" customHeight="1">
      <c r="H205" s="2"/>
      <c r="M205" s="3"/>
      <c r="N205" s="3"/>
      <c r="Q205" s="3"/>
    </row>
    <row r="206" spans="8:17" ht="14.25" customHeight="1">
      <c r="H206" s="2"/>
      <c r="M206" s="3"/>
      <c r="N206" s="3"/>
      <c r="Q206" s="3"/>
    </row>
    <row r="207" spans="8:17" ht="14.25" customHeight="1">
      <c r="H207" s="2"/>
      <c r="M207" s="3"/>
      <c r="N207" s="3"/>
      <c r="Q207" s="3"/>
    </row>
    <row r="208" spans="8:17" ht="14.25" customHeight="1">
      <c r="H208" s="2"/>
      <c r="M208" s="3"/>
      <c r="N208" s="3"/>
      <c r="Q208" s="3"/>
    </row>
    <row r="209" spans="8:17" ht="14.25" customHeight="1">
      <c r="H209" s="2"/>
      <c r="M209" s="3"/>
      <c r="N209" s="3"/>
      <c r="Q209" s="3"/>
    </row>
    <row r="210" spans="8:17" ht="14.25" customHeight="1">
      <c r="H210" s="2"/>
      <c r="M210" s="3"/>
      <c r="N210" s="3"/>
      <c r="Q210" s="3"/>
    </row>
    <row r="211" spans="8:17" ht="14.25" customHeight="1">
      <c r="H211" s="2"/>
      <c r="M211" s="3"/>
      <c r="N211" s="3"/>
      <c r="Q211" s="3"/>
    </row>
    <row r="212" spans="8:17" ht="14.25" customHeight="1">
      <c r="H212" s="2"/>
      <c r="M212" s="3"/>
      <c r="N212" s="3"/>
      <c r="Q212" s="3"/>
    </row>
    <row r="213" spans="8:17" ht="14.25" customHeight="1">
      <c r="H213" s="2"/>
      <c r="M213" s="3"/>
      <c r="N213" s="3"/>
      <c r="Q213" s="3"/>
    </row>
    <row r="214" spans="8:17" ht="14.25" customHeight="1">
      <c r="H214" s="2"/>
      <c r="M214" s="3"/>
      <c r="N214" s="3"/>
      <c r="Q214" s="3"/>
    </row>
    <row r="215" spans="8:17" ht="14.25" customHeight="1">
      <c r="H215" s="2"/>
      <c r="M215" s="3"/>
      <c r="N215" s="3"/>
      <c r="Q215" s="3"/>
    </row>
    <row r="216" spans="8:17" ht="14.25" customHeight="1">
      <c r="H216" s="2"/>
      <c r="M216" s="3"/>
      <c r="N216" s="3"/>
      <c r="Q216" s="3"/>
    </row>
    <row r="217" spans="8:17" ht="14.25" customHeight="1">
      <c r="H217" s="2"/>
      <c r="M217" s="3"/>
      <c r="N217" s="3"/>
      <c r="Q217" s="3"/>
    </row>
    <row r="218" spans="8:17" ht="14.25" customHeight="1">
      <c r="H218" s="2"/>
      <c r="M218" s="3"/>
      <c r="N218" s="3"/>
      <c r="Q218" s="3"/>
    </row>
    <row r="219" spans="8:17" ht="14.25" customHeight="1">
      <c r="H219" s="2"/>
      <c r="M219" s="3"/>
      <c r="N219" s="3"/>
      <c r="Q219" s="3"/>
    </row>
    <row r="220" spans="8:17" ht="14.25" customHeight="1">
      <c r="H220" s="2"/>
      <c r="M220" s="3"/>
      <c r="N220" s="3"/>
      <c r="Q220" s="3"/>
    </row>
    <row r="221" spans="8:17" ht="14.25" customHeight="1">
      <c r="H221" s="2"/>
      <c r="M221" s="3"/>
      <c r="N221" s="3"/>
      <c r="Q221" s="3"/>
    </row>
    <row r="222" spans="8:17" ht="14.25" customHeight="1">
      <c r="H222" s="2"/>
      <c r="M222" s="3"/>
      <c r="N222" s="3"/>
      <c r="Q222" s="3"/>
    </row>
    <row r="223" spans="8:17" ht="14.25" customHeight="1">
      <c r="H223" s="2"/>
      <c r="M223" s="3"/>
      <c r="N223" s="3"/>
      <c r="Q223" s="3"/>
    </row>
    <row r="224" spans="8:17" ht="14.25" customHeight="1">
      <c r="H224" s="2"/>
      <c r="M224" s="3"/>
      <c r="N224" s="3"/>
      <c r="Q224" s="3"/>
    </row>
    <row r="225" spans="8:17" ht="14.25" customHeight="1">
      <c r="H225" s="2"/>
      <c r="M225" s="3"/>
      <c r="N225" s="3"/>
      <c r="Q225" s="3"/>
    </row>
    <row r="226" spans="8:17" ht="14.25" customHeight="1">
      <c r="H226" s="2"/>
      <c r="M226" s="3"/>
      <c r="N226" s="3"/>
      <c r="Q226" s="3"/>
    </row>
    <row r="227" spans="8:17" ht="14.25" customHeight="1">
      <c r="H227" s="2"/>
      <c r="M227" s="3"/>
      <c r="N227" s="3"/>
      <c r="Q227" s="3"/>
    </row>
    <row r="228" spans="8:17" ht="14.25" customHeight="1">
      <c r="H228" s="2"/>
      <c r="M228" s="3"/>
      <c r="N228" s="3"/>
      <c r="Q228" s="3"/>
    </row>
    <row r="229" spans="8:17" ht="14.25" customHeight="1">
      <c r="H229" s="2"/>
      <c r="M229" s="3"/>
      <c r="N229" s="3"/>
      <c r="Q229" s="3"/>
    </row>
    <row r="230" spans="8:17" ht="14.25" customHeight="1">
      <c r="H230" s="2"/>
      <c r="M230" s="3"/>
      <c r="N230" s="3"/>
      <c r="Q230" s="3"/>
    </row>
    <row r="231" spans="8:17" ht="14.25" customHeight="1">
      <c r="H231" s="2"/>
      <c r="M231" s="3"/>
      <c r="N231" s="3"/>
      <c r="Q231" s="3"/>
    </row>
    <row r="232" spans="8:17" ht="14.25" customHeight="1">
      <c r="H232" s="2"/>
      <c r="M232" s="3"/>
      <c r="N232" s="3"/>
      <c r="Q232" s="3"/>
    </row>
    <row r="233" spans="8:17" ht="14.25" customHeight="1">
      <c r="H233" s="2"/>
      <c r="M233" s="3"/>
      <c r="N233" s="3"/>
      <c r="Q233" s="3"/>
    </row>
    <row r="234" spans="8:17" ht="14.25" customHeight="1">
      <c r="H234" s="2"/>
      <c r="M234" s="3"/>
      <c r="N234" s="3"/>
      <c r="Q234" s="3"/>
    </row>
    <row r="235" spans="8:17" ht="14.25" customHeight="1">
      <c r="H235" s="2"/>
      <c r="M235" s="3"/>
      <c r="N235" s="3"/>
      <c r="Q235" s="3"/>
    </row>
    <row r="236" spans="8:17" ht="14.25" customHeight="1">
      <c r="H236" s="2"/>
      <c r="M236" s="3"/>
      <c r="N236" s="3"/>
      <c r="Q236" s="3"/>
    </row>
    <row r="237" spans="8:17" ht="14.25" customHeight="1">
      <c r="H237" s="2"/>
      <c r="M237" s="3"/>
      <c r="N237" s="3"/>
      <c r="Q237" s="3"/>
    </row>
    <row r="238" spans="8:17" ht="14.25" customHeight="1">
      <c r="H238" s="2"/>
      <c r="M238" s="3"/>
      <c r="N238" s="3"/>
      <c r="Q238" s="3"/>
    </row>
    <row r="239" spans="8:17" ht="14.25" customHeight="1">
      <c r="H239" s="2"/>
      <c r="M239" s="3"/>
      <c r="N239" s="3"/>
      <c r="Q239" s="3"/>
    </row>
    <row r="240" spans="8:17" ht="14.25" customHeight="1">
      <c r="H240" s="2"/>
      <c r="M240" s="3"/>
      <c r="N240" s="3"/>
      <c r="Q240" s="3"/>
    </row>
    <row r="241" spans="8:17" ht="14.25" customHeight="1">
      <c r="H241" s="2"/>
      <c r="M241" s="3"/>
      <c r="N241" s="3"/>
      <c r="Q241" s="3"/>
    </row>
    <row r="242" spans="8:17" ht="14.25" customHeight="1">
      <c r="H242" s="2"/>
      <c r="M242" s="3"/>
      <c r="N242" s="3"/>
      <c r="Q242" s="3"/>
    </row>
    <row r="243" spans="8:17" ht="14.25" customHeight="1">
      <c r="H243" s="2"/>
      <c r="M243" s="3"/>
      <c r="N243" s="3"/>
      <c r="Q243" s="3"/>
    </row>
    <row r="244" spans="8:17" ht="14.25" customHeight="1">
      <c r="H244" s="2"/>
      <c r="M244" s="3"/>
      <c r="N244" s="3"/>
      <c r="Q244" s="3"/>
    </row>
    <row r="245" spans="8:17" ht="14.25" customHeight="1">
      <c r="H245" s="2"/>
      <c r="M245" s="3"/>
      <c r="N245" s="3"/>
      <c r="Q245" s="3"/>
    </row>
    <row r="246" spans="8:17" ht="14.25" customHeight="1">
      <c r="H246" s="2"/>
      <c r="M246" s="3"/>
      <c r="N246" s="3"/>
      <c r="Q246" s="3"/>
    </row>
    <row r="247" spans="8:17" ht="14.25" customHeight="1">
      <c r="H247" s="2"/>
      <c r="M247" s="3"/>
      <c r="N247" s="3"/>
      <c r="Q247" s="3"/>
    </row>
    <row r="248" spans="8:17" ht="14.25" customHeight="1">
      <c r="H248" s="2"/>
      <c r="M248" s="3"/>
      <c r="N248" s="3"/>
      <c r="Q248" s="3"/>
    </row>
    <row r="249" spans="8:17" ht="14.25" customHeight="1">
      <c r="H249" s="2"/>
      <c r="M249" s="3"/>
      <c r="N249" s="3"/>
      <c r="Q249" s="3"/>
    </row>
    <row r="250" spans="8:17" ht="14.25" customHeight="1">
      <c r="H250" s="2"/>
      <c r="M250" s="3"/>
      <c r="N250" s="3"/>
      <c r="Q250" s="3"/>
    </row>
    <row r="251" spans="8:17" ht="14.25" customHeight="1">
      <c r="H251" s="2"/>
      <c r="M251" s="3"/>
      <c r="N251" s="3"/>
      <c r="Q251" s="3"/>
    </row>
    <row r="252" spans="8:17" ht="14.25" customHeight="1">
      <c r="H252" s="2"/>
      <c r="M252" s="3"/>
      <c r="N252" s="3"/>
      <c r="Q252" s="3"/>
    </row>
    <row r="253" spans="8:17" ht="14.25" customHeight="1">
      <c r="H253" s="2"/>
      <c r="M253" s="3"/>
      <c r="N253" s="3"/>
      <c r="Q253" s="3"/>
    </row>
    <row r="254" spans="8:17" ht="14.25" customHeight="1">
      <c r="H254" s="2"/>
      <c r="M254" s="3"/>
      <c r="N254" s="3"/>
      <c r="Q254" s="3"/>
    </row>
    <row r="255" spans="8:17" ht="14.25" customHeight="1">
      <c r="H255" s="2"/>
      <c r="M255" s="3"/>
      <c r="N255" s="3"/>
      <c r="Q255" s="3"/>
    </row>
    <row r="256" spans="8:17" ht="14.25" customHeight="1">
      <c r="H256" s="2"/>
      <c r="M256" s="3"/>
      <c r="N256" s="3"/>
      <c r="Q256" s="3"/>
    </row>
    <row r="257" spans="8:17" ht="14.25" customHeight="1">
      <c r="H257" s="2"/>
      <c r="M257" s="3"/>
      <c r="N257" s="3"/>
      <c r="Q257" s="3"/>
    </row>
    <row r="258" spans="8:17" ht="14.25" customHeight="1">
      <c r="H258" s="2"/>
      <c r="M258" s="3"/>
      <c r="N258" s="3"/>
      <c r="Q258" s="3"/>
    </row>
    <row r="259" spans="8:17" ht="14.25" customHeight="1">
      <c r="H259" s="2"/>
      <c r="M259" s="3"/>
      <c r="N259" s="3"/>
      <c r="Q259" s="3"/>
    </row>
    <row r="260" spans="8:17" ht="14.25" customHeight="1">
      <c r="H260" s="2"/>
      <c r="M260" s="3"/>
      <c r="N260" s="3"/>
      <c r="Q260" s="3"/>
    </row>
    <row r="261" spans="8:17" ht="14.25" customHeight="1">
      <c r="H261" s="2"/>
      <c r="M261" s="3"/>
      <c r="N261" s="3"/>
      <c r="Q261" s="3"/>
    </row>
    <row r="262" spans="8:17" ht="14.25" customHeight="1">
      <c r="H262" s="2"/>
      <c r="M262" s="3"/>
      <c r="N262" s="3"/>
      <c r="Q262" s="3"/>
    </row>
    <row r="263" spans="8:17" ht="14.25" customHeight="1">
      <c r="H263" s="2"/>
      <c r="M263" s="3"/>
      <c r="N263" s="3"/>
      <c r="Q263" s="3"/>
    </row>
    <row r="264" spans="8:17" ht="14.25" customHeight="1">
      <c r="H264" s="2"/>
      <c r="M264" s="3"/>
      <c r="N264" s="3"/>
      <c r="Q264" s="3"/>
    </row>
    <row r="265" spans="8:17" ht="14.25" customHeight="1">
      <c r="H265" s="2"/>
      <c r="M265" s="3"/>
      <c r="N265" s="3"/>
      <c r="Q265" s="3"/>
    </row>
    <row r="266" spans="8:17" ht="14.25" customHeight="1">
      <c r="H266" s="2"/>
      <c r="M266" s="3"/>
      <c r="N266" s="3"/>
      <c r="Q266" s="3"/>
    </row>
    <row r="267" spans="8:17" ht="14.25" customHeight="1">
      <c r="H267" s="2"/>
      <c r="M267" s="3"/>
      <c r="N267" s="3"/>
      <c r="Q267" s="3"/>
    </row>
    <row r="268" spans="8:17" ht="14.25" customHeight="1">
      <c r="H268" s="2"/>
      <c r="M268" s="3"/>
      <c r="N268" s="3"/>
      <c r="Q268" s="3"/>
    </row>
    <row r="269" spans="8:17" ht="14.25" customHeight="1">
      <c r="H269" s="2"/>
      <c r="M269" s="3"/>
      <c r="N269" s="3"/>
      <c r="Q269" s="3"/>
    </row>
    <row r="270" spans="8:17" ht="14.25" customHeight="1">
      <c r="H270" s="2"/>
      <c r="M270" s="3"/>
      <c r="N270" s="3"/>
      <c r="Q270" s="3"/>
    </row>
    <row r="271" spans="8:17" ht="14.25" customHeight="1">
      <c r="H271" s="2"/>
      <c r="M271" s="3"/>
      <c r="N271" s="3"/>
      <c r="Q271" s="3"/>
    </row>
    <row r="272" spans="8:17" ht="14.25" customHeight="1">
      <c r="H272" s="2"/>
      <c r="M272" s="3"/>
      <c r="N272" s="3"/>
      <c r="Q272" s="3"/>
    </row>
    <row r="273" spans="8:17" ht="14.25" customHeight="1">
      <c r="H273" s="2"/>
      <c r="M273" s="3"/>
      <c r="N273" s="3"/>
      <c r="Q273" s="3"/>
    </row>
    <row r="274" spans="8:17" ht="14.25" customHeight="1">
      <c r="H274" s="2"/>
      <c r="M274" s="3"/>
      <c r="N274" s="3"/>
      <c r="Q274" s="3"/>
    </row>
    <row r="275" spans="8:17" ht="14.25" customHeight="1">
      <c r="H275" s="2"/>
      <c r="M275" s="3"/>
      <c r="N275" s="3"/>
      <c r="Q275" s="3"/>
    </row>
    <row r="276" spans="8:17" ht="14.25" customHeight="1">
      <c r="H276" s="2"/>
      <c r="M276" s="3"/>
      <c r="N276" s="3"/>
      <c r="Q276" s="3"/>
    </row>
    <row r="277" spans="8:17" ht="14.25" customHeight="1">
      <c r="H277" s="2"/>
      <c r="M277" s="3"/>
      <c r="N277" s="3"/>
      <c r="Q277" s="3"/>
    </row>
    <row r="278" spans="8:17" ht="14.25" customHeight="1">
      <c r="H278" s="2"/>
      <c r="M278" s="3"/>
      <c r="N278" s="3"/>
      <c r="Q278" s="3"/>
    </row>
    <row r="279" spans="8:17" ht="14.25" customHeight="1">
      <c r="H279" s="2"/>
      <c r="M279" s="3"/>
      <c r="N279" s="3"/>
      <c r="Q279" s="3"/>
    </row>
    <row r="280" spans="8:17" ht="14.25" customHeight="1">
      <c r="H280" s="2"/>
      <c r="M280" s="3"/>
      <c r="N280" s="3"/>
      <c r="Q280" s="3"/>
    </row>
    <row r="281" spans="8:17" ht="14.25" customHeight="1">
      <c r="H281" s="2"/>
      <c r="M281" s="3"/>
      <c r="N281" s="3"/>
      <c r="Q281" s="3"/>
    </row>
    <row r="282" spans="8:17" ht="14.25" customHeight="1">
      <c r="H282" s="2"/>
      <c r="M282" s="3"/>
      <c r="N282" s="3"/>
      <c r="Q282" s="3"/>
    </row>
    <row r="283" spans="8:17" ht="14.25" customHeight="1">
      <c r="H283" s="2"/>
      <c r="M283" s="3"/>
      <c r="N283" s="3"/>
      <c r="Q283" s="3"/>
    </row>
    <row r="284" spans="8:17" ht="14.25" customHeight="1">
      <c r="H284" s="2"/>
      <c r="M284" s="3"/>
      <c r="N284" s="3"/>
      <c r="Q284" s="3"/>
    </row>
    <row r="285" spans="8:17" ht="14.25" customHeight="1">
      <c r="H285" s="2"/>
      <c r="M285" s="3"/>
      <c r="N285" s="3"/>
      <c r="Q285" s="3"/>
    </row>
    <row r="286" spans="8:17" ht="14.25" customHeight="1">
      <c r="H286" s="2"/>
      <c r="M286" s="3"/>
      <c r="N286" s="3"/>
      <c r="Q286" s="3"/>
    </row>
    <row r="287" spans="8:17" ht="14.25" customHeight="1">
      <c r="H287" s="2"/>
      <c r="M287" s="3"/>
      <c r="N287" s="3"/>
      <c r="Q287" s="3"/>
    </row>
    <row r="288" spans="8:17" ht="14.25" customHeight="1">
      <c r="H288" s="2"/>
      <c r="M288" s="3"/>
      <c r="N288" s="3"/>
      <c r="Q288" s="3"/>
    </row>
    <row r="289" spans="8:17" ht="14.25" customHeight="1">
      <c r="H289" s="2"/>
      <c r="M289" s="3"/>
      <c r="N289" s="3"/>
      <c r="Q289" s="3"/>
    </row>
    <row r="290" spans="8:17" ht="14.25" customHeight="1">
      <c r="H290" s="2"/>
      <c r="M290" s="3"/>
      <c r="N290" s="3"/>
      <c r="Q290" s="3"/>
    </row>
    <row r="291" spans="8:17" ht="14.25" customHeight="1">
      <c r="H291" s="2"/>
      <c r="M291" s="3"/>
      <c r="N291" s="3"/>
      <c r="Q291" s="3"/>
    </row>
    <row r="292" spans="8:17" ht="14.25" customHeight="1">
      <c r="H292" s="2"/>
      <c r="M292" s="3"/>
      <c r="N292" s="3"/>
      <c r="Q292" s="3"/>
    </row>
    <row r="293" spans="8:17" ht="14.25" customHeight="1">
      <c r="H293" s="2"/>
      <c r="M293" s="3"/>
      <c r="N293" s="3"/>
      <c r="Q293" s="3"/>
    </row>
    <row r="294" spans="8:17" ht="14.25" customHeight="1">
      <c r="H294" s="2"/>
      <c r="M294" s="3"/>
      <c r="N294" s="3"/>
      <c r="Q294" s="3"/>
    </row>
    <row r="295" spans="8:17" ht="14.25" customHeight="1">
      <c r="H295" s="2"/>
      <c r="M295" s="3"/>
      <c r="N295" s="3"/>
      <c r="Q295" s="3"/>
    </row>
    <row r="296" spans="8:17" ht="14.25" customHeight="1">
      <c r="H296" s="2"/>
      <c r="M296" s="3"/>
      <c r="N296" s="3"/>
      <c r="Q296" s="3"/>
    </row>
    <row r="297" spans="8:17" ht="14.25" customHeight="1">
      <c r="H297" s="2"/>
      <c r="M297" s="3"/>
      <c r="N297" s="3"/>
      <c r="Q297" s="3"/>
    </row>
    <row r="298" spans="8:17" ht="14.25" customHeight="1">
      <c r="H298" s="2"/>
      <c r="M298" s="3"/>
      <c r="N298" s="3"/>
      <c r="Q298" s="3"/>
    </row>
    <row r="299" spans="8:17" ht="14.25" customHeight="1">
      <c r="H299" s="2"/>
      <c r="M299" s="3"/>
      <c r="N299" s="3"/>
      <c r="Q299" s="3"/>
    </row>
    <row r="300" spans="8:17" ht="14.25" customHeight="1">
      <c r="H300" s="2"/>
      <c r="M300" s="3"/>
      <c r="N300" s="3"/>
      <c r="Q300" s="3"/>
    </row>
    <row r="301" spans="8:17" ht="14.25" customHeight="1">
      <c r="H301" s="2"/>
      <c r="M301" s="3"/>
      <c r="N301" s="3"/>
      <c r="Q301" s="3"/>
    </row>
    <row r="302" spans="8:17" ht="14.25" customHeight="1">
      <c r="H302" s="2"/>
      <c r="M302" s="3"/>
      <c r="N302" s="3"/>
      <c r="Q302" s="3"/>
    </row>
    <row r="303" spans="8:17" ht="14.25" customHeight="1">
      <c r="H303" s="2"/>
      <c r="M303" s="3"/>
      <c r="N303" s="3"/>
      <c r="Q303" s="3"/>
    </row>
    <row r="304" spans="8:17" ht="14.25" customHeight="1">
      <c r="H304" s="2"/>
      <c r="M304" s="3"/>
      <c r="N304" s="3"/>
      <c r="Q304" s="3"/>
    </row>
    <row r="305" spans="8:17" ht="14.25" customHeight="1">
      <c r="H305" s="2"/>
      <c r="M305" s="3"/>
      <c r="N305" s="3"/>
      <c r="Q305" s="3"/>
    </row>
    <row r="306" spans="8:17" ht="14.25" customHeight="1">
      <c r="H306" s="2"/>
      <c r="M306" s="3"/>
      <c r="N306" s="3"/>
      <c r="Q306" s="3"/>
    </row>
    <row r="307" spans="8:17" ht="14.25" customHeight="1">
      <c r="H307" s="2"/>
      <c r="M307" s="3"/>
      <c r="N307" s="3"/>
      <c r="Q307" s="3"/>
    </row>
    <row r="308" spans="8:17" ht="14.25" customHeight="1">
      <c r="H308" s="2"/>
      <c r="M308" s="3"/>
      <c r="N308" s="3"/>
      <c r="Q308" s="3"/>
    </row>
    <row r="309" spans="8:17" ht="14.25" customHeight="1">
      <c r="H309" s="2"/>
      <c r="M309" s="3"/>
      <c r="N309" s="3"/>
      <c r="Q309" s="3"/>
    </row>
    <row r="310" spans="8:17" ht="14.25" customHeight="1">
      <c r="H310" s="2"/>
      <c r="M310" s="3"/>
      <c r="N310" s="3"/>
      <c r="Q310" s="3"/>
    </row>
    <row r="311" spans="8:17" ht="14.25" customHeight="1">
      <c r="H311" s="2"/>
      <c r="M311" s="3"/>
      <c r="N311" s="3"/>
      <c r="Q311" s="3"/>
    </row>
    <row r="312" spans="8:17" ht="14.25" customHeight="1">
      <c r="H312" s="2"/>
      <c r="M312" s="3"/>
      <c r="N312" s="3"/>
      <c r="Q312" s="3"/>
    </row>
    <row r="313" spans="8:17" ht="14.25" customHeight="1">
      <c r="H313" s="2"/>
      <c r="M313" s="3"/>
      <c r="N313" s="3"/>
      <c r="Q313" s="3"/>
    </row>
    <row r="314" spans="8:17" ht="14.25" customHeight="1">
      <c r="H314" s="2"/>
      <c r="M314" s="3"/>
      <c r="N314" s="3"/>
      <c r="Q314" s="3"/>
    </row>
    <row r="315" spans="8:17" ht="14.25" customHeight="1">
      <c r="H315" s="2"/>
      <c r="M315" s="3"/>
      <c r="N315" s="3"/>
      <c r="Q315" s="3"/>
    </row>
    <row r="316" spans="8:17" ht="14.25" customHeight="1">
      <c r="H316" s="2"/>
      <c r="M316" s="3"/>
      <c r="N316" s="3"/>
      <c r="Q316" s="3"/>
    </row>
    <row r="317" spans="8:17" ht="14.25" customHeight="1">
      <c r="H317" s="2"/>
      <c r="M317" s="3"/>
      <c r="N317" s="3"/>
      <c r="Q317" s="3"/>
    </row>
    <row r="318" spans="8:17" ht="14.25" customHeight="1">
      <c r="H318" s="2"/>
      <c r="M318" s="3"/>
      <c r="N318" s="3"/>
      <c r="Q318" s="3"/>
    </row>
    <row r="319" spans="8:17" ht="14.25" customHeight="1">
      <c r="H319" s="2"/>
      <c r="M319" s="3"/>
      <c r="N319" s="3"/>
      <c r="Q319" s="3"/>
    </row>
    <row r="320" spans="8:17" ht="14.25" customHeight="1">
      <c r="H320" s="2"/>
      <c r="M320" s="3"/>
      <c r="N320" s="3"/>
      <c r="Q320" s="3"/>
    </row>
    <row r="321" spans="8:17" ht="14.25" customHeight="1">
      <c r="H321" s="2"/>
      <c r="M321" s="3"/>
      <c r="N321" s="3"/>
      <c r="Q321" s="3"/>
    </row>
    <row r="322" spans="8:17" ht="14.25" customHeight="1">
      <c r="H322" s="2"/>
      <c r="M322" s="3"/>
      <c r="N322" s="3"/>
      <c r="Q322" s="3"/>
    </row>
    <row r="323" spans="8:17" ht="14.25" customHeight="1">
      <c r="H323" s="2"/>
      <c r="M323" s="3"/>
      <c r="N323" s="3"/>
      <c r="Q323" s="3"/>
    </row>
    <row r="324" spans="8:17" ht="14.25" customHeight="1">
      <c r="H324" s="2"/>
      <c r="M324" s="3"/>
      <c r="N324" s="3"/>
      <c r="Q324" s="3"/>
    </row>
    <row r="325" spans="8:17" ht="14.25" customHeight="1">
      <c r="H325" s="2"/>
      <c r="M325" s="3"/>
      <c r="N325" s="3"/>
      <c r="Q325" s="3"/>
    </row>
    <row r="326" spans="8:17" ht="14.25" customHeight="1">
      <c r="H326" s="2"/>
      <c r="M326" s="3"/>
      <c r="N326" s="3"/>
      <c r="Q326" s="3"/>
    </row>
    <row r="327" spans="8:17" ht="14.25" customHeight="1">
      <c r="H327" s="2"/>
      <c r="M327" s="3"/>
      <c r="N327" s="3"/>
      <c r="Q327" s="3"/>
    </row>
    <row r="328" spans="8:17" ht="14.25" customHeight="1">
      <c r="H328" s="2"/>
      <c r="M328" s="3"/>
      <c r="N328" s="3"/>
      <c r="Q328" s="3"/>
    </row>
    <row r="329" spans="8:17" ht="14.25" customHeight="1">
      <c r="H329" s="2"/>
      <c r="M329" s="3"/>
      <c r="N329" s="3"/>
      <c r="Q329" s="3"/>
    </row>
    <row r="330" spans="8:17" ht="14.25" customHeight="1">
      <c r="H330" s="2"/>
      <c r="M330" s="3"/>
      <c r="N330" s="3"/>
      <c r="Q330" s="3"/>
    </row>
    <row r="331" spans="8:17" ht="14.25" customHeight="1">
      <c r="H331" s="2"/>
      <c r="M331" s="3"/>
      <c r="N331" s="3"/>
      <c r="Q331" s="3"/>
    </row>
    <row r="332" spans="8:17" ht="14.25" customHeight="1">
      <c r="H332" s="2"/>
      <c r="M332" s="3"/>
      <c r="N332" s="3"/>
      <c r="Q332" s="3"/>
    </row>
    <row r="333" spans="8:17" ht="14.25" customHeight="1">
      <c r="H333" s="2"/>
      <c r="M333" s="3"/>
      <c r="N333" s="3"/>
      <c r="Q333" s="3"/>
    </row>
    <row r="334" spans="8:17" ht="14.25" customHeight="1">
      <c r="H334" s="2"/>
      <c r="M334" s="3"/>
      <c r="N334" s="3"/>
      <c r="Q334" s="3"/>
    </row>
    <row r="335" spans="8:17" ht="14.25" customHeight="1">
      <c r="H335" s="2"/>
      <c r="M335" s="3"/>
      <c r="N335" s="3"/>
      <c r="Q335" s="3"/>
    </row>
    <row r="336" spans="8:17" ht="14.25" customHeight="1">
      <c r="H336" s="2"/>
      <c r="M336" s="3"/>
      <c r="N336" s="3"/>
      <c r="Q336" s="3"/>
    </row>
    <row r="337" spans="8:17" ht="14.25" customHeight="1">
      <c r="H337" s="2"/>
      <c r="M337" s="3"/>
      <c r="N337" s="3"/>
      <c r="Q337" s="3"/>
    </row>
    <row r="338" spans="8:17" ht="14.25" customHeight="1">
      <c r="H338" s="2"/>
      <c r="M338" s="3"/>
      <c r="N338" s="3"/>
      <c r="Q338" s="3"/>
    </row>
    <row r="339" spans="8:17" ht="14.25" customHeight="1">
      <c r="H339" s="2"/>
      <c r="M339" s="3"/>
      <c r="N339" s="3"/>
      <c r="Q339" s="3"/>
    </row>
    <row r="340" spans="8:17" ht="14.25" customHeight="1">
      <c r="H340" s="2"/>
      <c r="M340" s="3"/>
      <c r="N340" s="3"/>
      <c r="Q340" s="3"/>
    </row>
    <row r="341" spans="8:17" ht="14.25" customHeight="1">
      <c r="H341" s="2"/>
      <c r="M341" s="3"/>
      <c r="N341" s="3"/>
      <c r="Q341" s="3"/>
    </row>
    <row r="342" spans="8:17" ht="14.25" customHeight="1">
      <c r="H342" s="2"/>
      <c r="M342" s="3"/>
      <c r="N342" s="3"/>
      <c r="Q342" s="3"/>
    </row>
    <row r="343" spans="8:17" ht="14.25" customHeight="1">
      <c r="H343" s="2"/>
      <c r="M343" s="3"/>
      <c r="N343" s="3"/>
      <c r="Q343" s="3"/>
    </row>
    <row r="344" spans="8:17" ht="14.25" customHeight="1">
      <c r="H344" s="2"/>
      <c r="M344" s="3"/>
      <c r="N344" s="3"/>
      <c r="Q344" s="3"/>
    </row>
    <row r="345" spans="8:17" ht="14.25" customHeight="1">
      <c r="H345" s="2"/>
      <c r="M345" s="3"/>
      <c r="N345" s="3"/>
      <c r="Q345" s="3"/>
    </row>
    <row r="346" spans="8:17" ht="14.25" customHeight="1">
      <c r="H346" s="2"/>
      <c r="M346" s="3"/>
      <c r="N346" s="3"/>
      <c r="Q346" s="3"/>
    </row>
    <row r="347" spans="8:17" ht="14.25" customHeight="1">
      <c r="H347" s="2"/>
      <c r="M347" s="3"/>
      <c r="N347" s="3"/>
      <c r="Q347" s="3"/>
    </row>
    <row r="348" spans="8:17" ht="14.25" customHeight="1">
      <c r="H348" s="2"/>
      <c r="M348" s="3"/>
      <c r="N348" s="3"/>
      <c r="Q348" s="3"/>
    </row>
    <row r="349" spans="8:17" ht="14.25" customHeight="1">
      <c r="H349" s="2"/>
      <c r="M349" s="3"/>
      <c r="N349" s="3"/>
      <c r="Q349" s="3"/>
    </row>
    <row r="350" spans="8:17" ht="14.25" customHeight="1">
      <c r="H350" s="2"/>
      <c r="M350" s="3"/>
      <c r="N350" s="3"/>
      <c r="Q350" s="3"/>
    </row>
    <row r="351" spans="8:17" ht="14.25" customHeight="1">
      <c r="H351" s="2"/>
      <c r="M351" s="3"/>
      <c r="N351" s="3"/>
      <c r="Q351" s="3"/>
    </row>
    <row r="352" spans="8:17" ht="14.25" customHeight="1">
      <c r="H352" s="2"/>
      <c r="M352" s="3"/>
      <c r="N352" s="3"/>
      <c r="Q352" s="3"/>
    </row>
    <row r="353" spans="8:17" ht="14.25" customHeight="1">
      <c r="H353" s="2"/>
      <c r="M353" s="3"/>
      <c r="N353" s="3"/>
      <c r="Q353" s="3"/>
    </row>
    <row r="354" spans="8:17" ht="14.25" customHeight="1">
      <c r="H354" s="2"/>
      <c r="M354" s="3"/>
      <c r="N354" s="3"/>
      <c r="Q354" s="3"/>
    </row>
    <row r="355" spans="8:17" ht="14.25" customHeight="1">
      <c r="H355" s="2"/>
      <c r="M355" s="3"/>
      <c r="N355" s="3"/>
      <c r="Q355" s="3"/>
    </row>
    <row r="356" spans="8:17" ht="14.25" customHeight="1">
      <c r="H356" s="2"/>
      <c r="M356" s="3"/>
      <c r="N356" s="3"/>
      <c r="Q356" s="3"/>
    </row>
    <row r="357" spans="8:17" ht="14.25" customHeight="1">
      <c r="H357" s="2"/>
      <c r="M357" s="3"/>
      <c r="N357" s="3"/>
      <c r="Q357" s="3"/>
    </row>
    <row r="358" spans="8:17" ht="14.25" customHeight="1">
      <c r="H358" s="2"/>
      <c r="M358" s="3"/>
      <c r="N358" s="3"/>
      <c r="Q358" s="3"/>
    </row>
    <row r="359" spans="8:17" ht="14.25" customHeight="1">
      <c r="H359" s="2"/>
      <c r="M359" s="3"/>
      <c r="N359" s="3"/>
      <c r="Q359" s="3"/>
    </row>
    <row r="360" spans="8:17" ht="14.25" customHeight="1">
      <c r="H360" s="2"/>
      <c r="M360" s="3"/>
      <c r="N360" s="3"/>
      <c r="Q360" s="3"/>
    </row>
    <row r="361" spans="8:17" ht="14.25" customHeight="1">
      <c r="H361" s="2"/>
      <c r="M361" s="3"/>
      <c r="N361" s="3"/>
      <c r="Q361" s="3"/>
    </row>
    <row r="362" spans="8:17" ht="14.25" customHeight="1">
      <c r="H362" s="2"/>
      <c r="M362" s="3"/>
      <c r="N362" s="3"/>
      <c r="Q362" s="3"/>
    </row>
    <row r="363" spans="8:17" ht="14.25" customHeight="1">
      <c r="H363" s="2"/>
      <c r="M363" s="3"/>
      <c r="N363" s="3"/>
      <c r="Q363" s="3"/>
    </row>
    <row r="364" spans="8:17" ht="14.25" customHeight="1">
      <c r="H364" s="2"/>
      <c r="M364" s="3"/>
      <c r="N364" s="3"/>
      <c r="Q364" s="3"/>
    </row>
    <row r="365" spans="8:17" ht="14.25" customHeight="1">
      <c r="H365" s="2"/>
      <c r="M365" s="3"/>
      <c r="N365" s="3"/>
      <c r="Q365" s="3"/>
    </row>
    <row r="366" spans="8:17" ht="14.25" customHeight="1">
      <c r="H366" s="2"/>
      <c r="M366" s="3"/>
      <c r="N366" s="3"/>
      <c r="Q366" s="3"/>
    </row>
    <row r="367" spans="8:17" ht="14.25" customHeight="1">
      <c r="H367" s="2"/>
      <c r="M367" s="3"/>
      <c r="N367" s="3"/>
      <c r="Q367" s="3"/>
    </row>
    <row r="368" spans="8:17" ht="14.25" customHeight="1">
      <c r="H368" s="2"/>
      <c r="M368" s="3"/>
      <c r="N368" s="3"/>
      <c r="Q368" s="3"/>
    </row>
    <row r="369" spans="8:17" ht="14.25" customHeight="1">
      <c r="H369" s="2"/>
      <c r="M369" s="3"/>
      <c r="N369" s="3"/>
      <c r="Q369" s="3"/>
    </row>
    <row r="370" spans="8:17" ht="14.25" customHeight="1">
      <c r="H370" s="2"/>
      <c r="M370" s="3"/>
      <c r="N370" s="3"/>
      <c r="Q370" s="3"/>
    </row>
    <row r="371" spans="8:17" ht="14.25" customHeight="1">
      <c r="H371" s="2"/>
      <c r="M371" s="3"/>
      <c r="N371" s="3"/>
      <c r="Q371" s="3"/>
    </row>
    <row r="372" spans="8:17" ht="14.25" customHeight="1">
      <c r="H372" s="2"/>
      <c r="M372" s="3"/>
      <c r="N372" s="3"/>
      <c r="Q372" s="3"/>
    </row>
    <row r="373" spans="8:17" ht="14.25" customHeight="1">
      <c r="H373" s="2"/>
      <c r="M373" s="3"/>
      <c r="N373" s="3"/>
      <c r="Q373" s="3"/>
    </row>
    <row r="374" spans="8:17" ht="14.25" customHeight="1">
      <c r="H374" s="2"/>
      <c r="M374" s="3"/>
      <c r="N374" s="3"/>
      <c r="Q374" s="3"/>
    </row>
    <row r="375" spans="8:17" ht="14.25" customHeight="1">
      <c r="H375" s="2"/>
      <c r="M375" s="3"/>
      <c r="N375" s="3"/>
      <c r="Q375" s="3"/>
    </row>
    <row r="376" spans="8:17" ht="14.25" customHeight="1">
      <c r="H376" s="2"/>
      <c r="M376" s="3"/>
      <c r="N376" s="3"/>
      <c r="Q376" s="3"/>
    </row>
    <row r="377" spans="8:17" ht="14.25" customHeight="1">
      <c r="H377" s="2"/>
      <c r="M377" s="3"/>
      <c r="N377" s="3"/>
      <c r="Q377" s="3"/>
    </row>
    <row r="378" spans="8:17" ht="14.25" customHeight="1">
      <c r="H378" s="2"/>
      <c r="M378" s="3"/>
      <c r="N378" s="3"/>
      <c r="Q378" s="3"/>
    </row>
    <row r="379" spans="8:17" ht="14.25" customHeight="1">
      <c r="H379" s="2"/>
      <c r="M379" s="3"/>
      <c r="N379" s="3"/>
      <c r="Q379" s="3"/>
    </row>
    <row r="380" spans="8:17" ht="14.25" customHeight="1">
      <c r="H380" s="2"/>
      <c r="M380" s="3"/>
      <c r="N380" s="3"/>
      <c r="Q380" s="3"/>
    </row>
    <row r="381" spans="8:17" ht="14.25" customHeight="1">
      <c r="H381" s="2"/>
      <c r="M381" s="3"/>
      <c r="N381" s="3"/>
      <c r="Q381" s="3"/>
    </row>
    <row r="382" spans="8:17" ht="14.25" customHeight="1">
      <c r="H382" s="2"/>
      <c r="M382" s="3"/>
      <c r="N382" s="3"/>
      <c r="Q382" s="3"/>
    </row>
    <row r="383" spans="8:17" ht="14.25" customHeight="1">
      <c r="H383" s="2"/>
      <c r="M383" s="3"/>
      <c r="N383" s="3"/>
      <c r="Q383" s="3"/>
    </row>
    <row r="384" spans="8:17" ht="14.25" customHeight="1">
      <c r="H384" s="2"/>
      <c r="M384" s="3"/>
      <c r="N384" s="3"/>
      <c r="Q384" s="3"/>
    </row>
    <row r="385" spans="8:17" ht="14.25" customHeight="1">
      <c r="H385" s="2"/>
      <c r="M385" s="3"/>
      <c r="N385" s="3"/>
      <c r="Q385" s="3"/>
    </row>
    <row r="386" spans="8:17" ht="14.25" customHeight="1">
      <c r="H386" s="2"/>
      <c r="M386" s="3"/>
      <c r="N386" s="3"/>
      <c r="Q386" s="3"/>
    </row>
    <row r="387" spans="8:17" ht="14.25" customHeight="1">
      <c r="H387" s="2"/>
      <c r="M387" s="3"/>
      <c r="N387" s="3"/>
      <c r="Q387" s="3"/>
    </row>
    <row r="388" spans="8:17" ht="14.25" customHeight="1">
      <c r="H388" s="2"/>
      <c r="M388" s="3"/>
      <c r="N388" s="3"/>
      <c r="Q388" s="3"/>
    </row>
    <row r="389" spans="8:17" ht="14.25" customHeight="1">
      <c r="H389" s="2"/>
      <c r="M389" s="3"/>
      <c r="N389" s="3"/>
      <c r="Q389" s="3"/>
    </row>
    <row r="390" spans="8:17" ht="14.25" customHeight="1">
      <c r="H390" s="2"/>
      <c r="M390" s="3"/>
      <c r="N390" s="3"/>
      <c r="Q390" s="3"/>
    </row>
    <row r="391" spans="8:17" ht="14.25" customHeight="1">
      <c r="H391" s="2"/>
      <c r="M391" s="3"/>
      <c r="N391" s="3"/>
      <c r="Q391" s="3"/>
    </row>
    <row r="392" spans="8:17" ht="14.25" customHeight="1">
      <c r="H392" s="2"/>
      <c r="M392" s="3"/>
      <c r="N392" s="3"/>
      <c r="Q392" s="3"/>
    </row>
    <row r="393" spans="8:17" ht="14.25" customHeight="1">
      <c r="H393" s="2"/>
      <c r="M393" s="3"/>
      <c r="N393" s="3"/>
      <c r="Q393" s="3"/>
    </row>
    <row r="394" spans="8:17" ht="14.25" customHeight="1">
      <c r="H394" s="2"/>
      <c r="M394" s="3"/>
      <c r="N394" s="3"/>
      <c r="Q394" s="3"/>
    </row>
    <row r="395" spans="8:17" ht="14.25" customHeight="1">
      <c r="H395" s="2"/>
      <c r="M395" s="3"/>
      <c r="N395" s="3"/>
      <c r="Q395" s="3"/>
    </row>
    <row r="396" spans="8:17" ht="14.25" customHeight="1">
      <c r="H396" s="2"/>
      <c r="M396" s="3"/>
      <c r="N396" s="3"/>
      <c r="Q396" s="3"/>
    </row>
    <row r="397" spans="8:17" ht="14.25" customHeight="1">
      <c r="H397" s="2"/>
      <c r="M397" s="3"/>
      <c r="N397" s="3"/>
      <c r="Q397" s="3"/>
    </row>
    <row r="398" spans="8:17" ht="14.25" customHeight="1">
      <c r="H398" s="2"/>
      <c r="M398" s="3"/>
      <c r="N398" s="3"/>
      <c r="Q398" s="3"/>
    </row>
    <row r="399" spans="8:17" ht="14.25" customHeight="1">
      <c r="H399" s="2"/>
      <c r="M399" s="3"/>
      <c r="N399" s="3"/>
      <c r="Q399" s="3"/>
    </row>
    <row r="400" spans="8:17" ht="14.25" customHeight="1">
      <c r="H400" s="2"/>
      <c r="M400" s="3"/>
      <c r="N400" s="3"/>
      <c r="Q400" s="3"/>
    </row>
    <row r="401" spans="8:17" ht="14.25" customHeight="1">
      <c r="H401" s="2"/>
      <c r="M401" s="3"/>
      <c r="N401" s="3"/>
      <c r="Q401" s="3"/>
    </row>
    <row r="402" spans="8:17" ht="14.25" customHeight="1">
      <c r="H402" s="2"/>
      <c r="M402" s="3"/>
      <c r="N402" s="3"/>
      <c r="Q402" s="3"/>
    </row>
    <row r="403" spans="8:17" ht="14.25" customHeight="1">
      <c r="H403" s="2"/>
      <c r="M403" s="3"/>
      <c r="N403" s="3"/>
      <c r="Q403" s="3"/>
    </row>
    <row r="404" spans="8:17" ht="14.25" customHeight="1">
      <c r="H404" s="2"/>
      <c r="M404" s="3"/>
      <c r="N404" s="3"/>
      <c r="Q404" s="3"/>
    </row>
    <row r="405" spans="8:17" ht="14.25" customHeight="1">
      <c r="H405" s="2"/>
      <c r="M405" s="3"/>
      <c r="N405" s="3"/>
      <c r="Q405" s="3"/>
    </row>
    <row r="406" spans="8:17" ht="14.25" customHeight="1">
      <c r="H406" s="2"/>
      <c r="M406" s="3"/>
      <c r="N406" s="3"/>
      <c r="Q406" s="3"/>
    </row>
    <row r="407" spans="8:17" ht="14.25" customHeight="1">
      <c r="H407" s="2"/>
      <c r="M407" s="3"/>
      <c r="N407" s="3"/>
      <c r="Q407" s="3"/>
    </row>
    <row r="408" spans="8:17" ht="14.25" customHeight="1">
      <c r="H408" s="2"/>
      <c r="M408" s="3"/>
      <c r="N408" s="3"/>
      <c r="Q408" s="3"/>
    </row>
    <row r="409" spans="8:17" ht="14.25" customHeight="1">
      <c r="H409" s="2"/>
      <c r="M409" s="3"/>
      <c r="N409" s="3"/>
      <c r="Q409" s="3"/>
    </row>
    <row r="410" spans="8:17" ht="14.25" customHeight="1">
      <c r="H410" s="2"/>
      <c r="M410" s="3"/>
      <c r="N410" s="3"/>
      <c r="Q410" s="3"/>
    </row>
    <row r="411" spans="8:17" ht="14.25" customHeight="1">
      <c r="H411" s="2"/>
      <c r="M411" s="3"/>
      <c r="N411" s="3"/>
      <c r="Q411" s="3"/>
    </row>
    <row r="412" spans="8:17" ht="14.25" customHeight="1">
      <c r="H412" s="2"/>
      <c r="M412" s="3"/>
      <c r="N412" s="3"/>
      <c r="Q412" s="3"/>
    </row>
    <row r="413" spans="8:17" ht="14.25" customHeight="1">
      <c r="H413" s="2"/>
      <c r="M413" s="3"/>
      <c r="N413" s="3"/>
      <c r="Q413" s="3"/>
    </row>
    <row r="414" spans="8:17" ht="14.25" customHeight="1">
      <c r="H414" s="2"/>
      <c r="M414" s="3"/>
      <c r="N414" s="3"/>
      <c r="Q414" s="3"/>
    </row>
    <row r="415" spans="8:17" ht="14.25" customHeight="1">
      <c r="H415" s="2"/>
      <c r="M415" s="3"/>
      <c r="N415" s="3"/>
      <c r="Q415" s="3"/>
    </row>
    <row r="416" spans="8:17" ht="14.25" customHeight="1">
      <c r="H416" s="2"/>
      <c r="M416" s="3"/>
      <c r="N416" s="3"/>
      <c r="Q416" s="3"/>
    </row>
    <row r="417" spans="8:17" ht="14.25" customHeight="1">
      <c r="H417" s="2"/>
      <c r="M417" s="3"/>
      <c r="N417" s="3"/>
      <c r="Q417" s="3"/>
    </row>
    <row r="418" spans="8:17" ht="14.25" customHeight="1">
      <c r="H418" s="2"/>
      <c r="M418" s="3"/>
      <c r="N418" s="3"/>
      <c r="Q418" s="3"/>
    </row>
    <row r="419" spans="8:17" ht="14.25" customHeight="1">
      <c r="H419" s="2"/>
      <c r="M419" s="3"/>
      <c r="N419" s="3"/>
      <c r="Q419" s="3"/>
    </row>
    <row r="420" spans="8:17" ht="14.25" customHeight="1">
      <c r="H420" s="2"/>
      <c r="M420" s="3"/>
      <c r="N420" s="3"/>
      <c r="Q420" s="3"/>
    </row>
    <row r="421" spans="8:17" ht="14.25" customHeight="1">
      <c r="H421" s="2"/>
      <c r="M421" s="3"/>
      <c r="N421" s="3"/>
      <c r="Q421" s="3"/>
    </row>
    <row r="422" spans="8:17" ht="14.25" customHeight="1">
      <c r="H422" s="2"/>
      <c r="M422" s="3"/>
      <c r="N422" s="3"/>
      <c r="Q422" s="3"/>
    </row>
    <row r="423" spans="8:17" ht="14.25" customHeight="1">
      <c r="H423" s="2"/>
      <c r="M423" s="3"/>
      <c r="N423" s="3"/>
      <c r="Q423" s="3"/>
    </row>
    <row r="424" spans="8:17" ht="14.25" customHeight="1">
      <c r="H424" s="2"/>
      <c r="M424" s="3"/>
      <c r="N424" s="3"/>
      <c r="Q424" s="3"/>
    </row>
    <row r="425" spans="8:17" ht="14.25" customHeight="1">
      <c r="H425" s="2"/>
      <c r="M425" s="3"/>
      <c r="N425" s="3"/>
      <c r="Q425" s="3"/>
    </row>
    <row r="426" spans="8:17" ht="14.25" customHeight="1">
      <c r="H426" s="2"/>
      <c r="M426" s="3"/>
      <c r="N426" s="3"/>
      <c r="Q426" s="3"/>
    </row>
    <row r="427" spans="8:17" ht="14.25" customHeight="1">
      <c r="H427" s="2"/>
      <c r="M427" s="3"/>
      <c r="N427" s="3"/>
      <c r="Q427" s="3"/>
    </row>
    <row r="428" spans="8:17" ht="14.25" customHeight="1">
      <c r="H428" s="2"/>
      <c r="M428" s="3"/>
      <c r="N428" s="3"/>
      <c r="Q428" s="3"/>
    </row>
    <row r="429" spans="8:17" ht="14.25" customHeight="1">
      <c r="H429" s="2"/>
      <c r="M429" s="3"/>
      <c r="N429" s="3"/>
      <c r="Q429" s="3"/>
    </row>
    <row r="430" spans="8:17" ht="14.25" customHeight="1">
      <c r="H430" s="2"/>
      <c r="M430" s="3"/>
      <c r="N430" s="3"/>
      <c r="Q430" s="3"/>
    </row>
    <row r="431" spans="8:17" ht="14.25" customHeight="1">
      <c r="H431" s="2"/>
      <c r="M431" s="3"/>
      <c r="N431" s="3"/>
      <c r="Q431" s="3"/>
    </row>
    <row r="432" spans="8:17" ht="14.25" customHeight="1">
      <c r="H432" s="2"/>
      <c r="M432" s="3"/>
      <c r="N432" s="3"/>
      <c r="Q432" s="3"/>
    </row>
    <row r="433" spans="8:17" ht="14.25" customHeight="1">
      <c r="H433" s="2"/>
      <c r="M433" s="3"/>
      <c r="N433" s="3"/>
      <c r="Q433" s="3"/>
    </row>
    <row r="434" spans="8:17" ht="14.25" customHeight="1">
      <c r="H434" s="2"/>
      <c r="M434" s="3"/>
      <c r="N434" s="3"/>
      <c r="Q434" s="3"/>
    </row>
    <row r="435" spans="8:17" ht="14.25" customHeight="1">
      <c r="H435" s="2"/>
      <c r="M435" s="3"/>
      <c r="N435" s="3"/>
      <c r="Q435" s="3"/>
    </row>
    <row r="436" spans="8:17" ht="14.25" customHeight="1">
      <c r="H436" s="2"/>
      <c r="M436" s="3"/>
      <c r="N436" s="3"/>
      <c r="Q436" s="3"/>
    </row>
    <row r="437" spans="8:17" ht="14.25" customHeight="1">
      <c r="H437" s="2"/>
      <c r="M437" s="3"/>
      <c r="N437" s="3"/>
      <c r="Q437" s="3"/>
    </row>
    <row r="438" spans="8:17" ht="14.25" customHeight="1">
      <c r="H438" s="2"/>
      <c r="M438" s="3"/>
      <c r="N438" s="3"/>
      <c r="Q438" s="3"/>
    </row>
    <row r="439" spans="8:17" ht="14.25" customHeight="1">
      <c r="H439" s="2"/>
      <c r="M439" s="3"/>
      <c r="N439" s="3"/>
      <c r="Q439" s="3"/>
    </row>
    <row r="440" spans="8:17" ht="14.25" customHeight="1">
      <c r="H440" s="2"/>
      <c r="M440" s="3"/>
      <c r="N440" s="3"/>
      <c r="Q440" s="3"/>
    </row>
    <row r="441" spans="8:17" ht="14.25" customHeight="1">
      <c r="H441" s="2"/>
      <c r="M441" s="3"/>
      <c r="N441" s="3"/>
      <c r="Q441" s="3"/>
    </row>
    <row r="442" spans="8:17" ht="14.25" customHeight="1">
      <c r="H442" s="2"/>
      <c r="M442" s="3"/>
      <c r="N442" s="3"/>
      <c r="Q442" s="3"/>
    </row>
    <row r="443" spans="8:17" ht="14.25" customHeight="1">
      <c r="H443" s="2"/>
      <c r="M443" s="3"/>
      <c r="N443" s="3"/>
      <c r="Q443" s="3"/>
    </row>
    <row r="444" spans="8:17" ht="14.25" customHeight="1">
      <c r="H444" s="2"/>
      <c r="M444" s="3"/>
      <c r="N444" s="3"/>
      <c r="Q444" s="3"/>
    </row>
    <row r="445" spans="8:17" ht="14.25" customHeight="1">
      <c r="H445" s="2"/>
      <c r="M445" s="3"/>
      <c r="N445" s="3"/>
      <c r="Q445" s="3"/>
    </row>
    <row r="446" spans="8:17" ht="14.25" customHeight="1">
      <c r="H446" s="2"/>
      <c r="M446" s="3"/>
      <c r="N446" s="3"/>
      <c r="Q446" s="3"/>
    </row>
    <row r="447" spans="8:17" ht="14.25" customHeight="1">
      <c r="H447" s="2"/>
      <c r="M447" s="3"/>
      <c r="N447" s="3"/>
      <c r="Q447" s="3"/>
    </row>
    <row r="448" spans="8:17" ht="14.25" customHeight="1">
      <c r="H448" s="2"/>
      <c r="M448" s="3"/>
      <c r="N448" s="3"/>
      <c r="Q448" s="3"/>
    </row>
    <row r="449" spans="8:17" ht="14.25" customHeight="1">
      <c r="H449" s="2"/>
      <c r="M449" s="3"/>
      <c r="N449" s="3"/>
      <c r="Q449" s="3"/>
    </row>
    <row r="450" spans="8:17" ht="14.25" customHeight="1">
      <c r="H450" s="2"/>
      <c r="M450" s="3"/>
      <c r="N450" s="3"/>
      <c r="Q450" s="3"/>
    </row>
    <row r="451" spans="8:17" ht="14.25" customHeight="1">
      <c r="H451" s="2"/>
      <c r="M451" s="3"/>
      <c r="N451" s="3"/>
      <c r="Q451" s="3"/>
    </row>
    <row r="452" spans="8:17" ht="14.25" customHeight="1">
      <c r="H452" s="2"/>
      <c r="M452" s="3"/>
      <c r="N452" s="3"/>
      <c r="Q452" s="3"/>
    </row>
    <row r="453" spans="8:17" ht="14.25" customHeight="1">
      <c r="H453" s="2"/>
      <c r="M453" s="3"/>
      <c r="N453" s="3"/>
      <c r="Q453" s="3"/>
    </row>
    <row r="454" spans="8:17" ht="14.25" customHeight="1">
      <c r="H454" s="2"/>
      <c r="M454" s="3"/>
      <c r="N454" s="3"/>
      <c r="Q454" s="3"/>
    </row>
    <row r="455" spans="8:17" ht="14.25" customHeight="1">
      <c r="H455" s="2"/>
      <c r="M455" s="3"/>
      <c r="N455" s="3"/>
      <c r="Q455" s="3"/>
    </row>
    <row r="456" spans="8:17" ht="14.25" customHeight="1">
      <c r="H456" s="2"/>
      <c r="M456" s="3"/>
      <c r="N456" s="3"/>
      <c r="Q456" s="3"/>
    </row>
    <row r="457" spans="8:17" ht="14.25" customHeight="1">
      <c r="H457" s="2"/>
      <c r="M457" s="3"/>
      <c r="N457" s="3"/>
      <c r="Q457" s="3"/>
    </row>
    <row r="458" spans="8:17" ht="14.25" customHeight="1">
      <c r="H458" s="2"/>
      <c r="M458" s="3"/>
      <c r="N458" s="3"/>
      <c r="Q458" s="3"/>
    </row>
    <row r="459" spans="8:17" ht="14.25" customHeight="1">
      <c r="H459" s="2"/>
      <c r="M459" s="3"/>
      <c r="N459" s="3"/>
      <c r="Q459" s="3"/>
    </row>
    <row r="460" spans="8:17" ht="14.25" customHeight="1">
      <c r="H460" s="2"/>
      <c r="M460" s="3"/>
      <c r="N460" s="3"/>
      <c r="Q460" s="3"/>
    </row>
    <row r="461" spans="8:17" ht="14.25" customHeight="1">
      <c r="H461" s="2"/>
      <c r="M461" s="3"/>
      <c r="N461" s="3"/>
      <c r="Q461" s="3"/>
    </row>
    <row r="462" spans="8:17" ht="14.25" customHeight="1">
      <c r="H462" s="2"/>
      <c r="M462" s="3"/>
      <c r="N462" s="3"/>
      <c r="Q462" s="3"/>
    </row>
    <row r="463" spans="8:17" ht="14.25" customHeight="1">
      <c r="H463" s="2"/>
      <c r="M463" s="3"/>
      <c r="N463" s="3"/>
      <c r="Q463" s="3"/>
    </row>
    <row r="464" spans="8:17" ht="14.25" customHeight="1">
      <c r="H464" s="2"/>
      <c r="M464" s="3"/>
      <c r="N464" s="3"/>
      <c r="Q464" s="3"/>
    </row>
    <row r="465" spans="8:17" ht="14.25" customHeight="1">
      <c r="H465" s="2"/>
      <c r="M465" s="3"/>
      <c r="N465" s="3"/>
      <c r="Q465" s="3"/>
    </row>
    <row r="466" spans="8:17" ht="14.25" customHeight="1">
      <c r="H466" s="2"/>
      <c r="M466" s="3"/>
      <c r="N466" s="3"/>
      <c r="Q466" s="3"/>
    </row>
    <row r="467" spans="8:17" ht="14.25" customHeight="1">
      <c r="H467" s="2"/>
      <c r="M467" s="3"/>
      <c r="N467" s="3"/>
      <c r="Q467" s="3"/>
    </row>
    <row r="468" spans="8:17" ht="14.25" customHeight="1">
      <c r="H468" s="2"/>
      <c r="M468" s="3"/>
      <c r="N468" s="3"/>
      <c r="Q468" s="3"/>
    </row>
    <row r="469" spans="8:17" ht="14.25" customHeight="1">
      <c r="H469" s="2"/>
      <c r="M469" s="3"/>
      <c r="N469" s="3"/>
      <c r="Q469" s="3"/>
    </row>
    <row r="470" spans="8:17" ht="14.25" customHeight="1">
      <c r="H470" s="2"/>
      <c r="M470" s="3"/>
      <c r="N470" s="3"/>
      <c r="Q470" s="3"/>
    </row>
    <row r="471" spans="8:17" ht="14.25" customHeight="1">
      <c r="H471" s="2"/>
      <c r="M471" s="3"/>
      <c r="N471" s="3"/>
      <c r="Q471" s="3"/>
    </row>
    <row r="472" spans="8:17" ht="14.25" customHeight="1">
      <c r="H472" s="2"/>
      <c r="M472" s="3"/>
      <c r="N472" s="3"/>
      <c r="Q472" s="3"/>
    </row>
    <row r="473" spans="8:17" ht="14.25" customHeight="1">
      <c r="H473" s="2"/>
      <c r="M473" s="3"/>
      <c r="N473" s="3"/>
      <c r="Q473" s="3"/>
    </row>
    <row r="474" spans="8:17" ht="14.25" customHeight="1">
      <c r="H474" s="2"/>
      <c r="M474" s="3"/>
      <c r="N474" s="3"/>
      <c r="Q474" s="3"/>
    </row>
    <row r="475" spans="8:17" ht="14.25" customHeight="1">
      <c r="H475" s="2"/>
      <c r="M475" s="3"/>
      <c r="N475" s="3"/>
      <c r="Q475" s="3"/>
    </row>
    <row r="476" spans="8:17" ht="14.25" customHeight="1">
      <c r="H476" s="2"/>
      <c r="M476" s="3"/>
      <c r="N476" s="3"/>
      <c r="Q476" s="3"/>
    </row>
    <row r="477" spans="8:17" ht="14.25" customHeight="1">
      <c r="H477" s="2"/>
      <c r="M477" s="3"/>
      <c r="N477" s="3"/>
      <c r="Q477" s="3"/>
    </row>
    <row r="478" spans="8:17" ht="14.25" customHeight="1">
      <c r="H478" s="2"/>
      <c r="M478" s="3"/>
      <c r="N478" s="3"/>
      <c r="Q478" s="3"/>
    </row>
    <row r="479" spans="8:17" ht="14.25" customHeight="1">
      <c r="H479" s="2"/>
      <c r="M479" s="3"/>
      <c r="N479" s="3"/>
      <c r="Q479" s="3"/>
    </row>
    <row r="480" spans="8:17" ht="14.25" customHeight="1">
      <c r="H480" s="2"/>
      <c r="M480" s="3"/>
      <c r="N480" s="3"/>
      <c r="Q480" s="3"/>
    </row>
    <row r="481" spans="8:17" ht="14.25" customHeight="1">
      <c r="H481" s="2"/>
      <c r="M481" s="3"/>
      <c r="N481" s="3"/>
      <c r="Q481" s="3"/>
    </row>
    <row r="482" spans="8:17" ht="14.25" customHeight="1">
      <c r="H482" s="2"/>
      <c r="M482" s="3"/>
      <c r="N482" s="3"/>
      <c r="Q482" s="3"/>
    </row>
    <row r="483" spans="8:17" ht="14.25" customHeight="1">
      <c r="H483" s="2"/>
      <c r="M483" s="3"/>
      <c r="N483" s="3"/>
      <c r="Q483" s="3"/>
    </row>
    <row r="484" spans="8:17" ht="14.25" customHeight="1">
      <c r="H484" s="2"/>
      <c r="M484" s="3"/>
      <c r="N484" s="3"/>
      <c r="Q484" s="3"/>
    </row>
    <row r="485" spans="8:17" ht="14.25" customHeight="1">
      <c r="H485" s="2"/>
      <c r="M485" s="3"/>
      <c r="N485" s="3"/>
      <c r="Q485" s="3"/>
    </row>
    <row r="486" spans="8:17" ht="14.25" customHeight="1">
      <c r="H486" s="2"/>
      <c r="M486" s="3"/>
      <c r="N486" s="3"/>
      <c r="Q486" s="3"/>
    </row>
    <row r="487" spans="8:17" ht="14.25" customHeight="1">
      <c r="H487" s="2"/>
      <c r="M487" s="3"/>
      <c r="N487" s="3"/>
      <c r="Q487" s="3"/>
    </row>
    <row r="488" spans="8:17" ht="14.25" customHeight="1">
      <c r="H488" s="2"/>
      <c r="M488" s="3"/>
      <c r="N488" s="3"/>
      <c r="Q488" s="3"/>
    </row>
    <row r="489" spans="8:17" ht="14.25" customHeight="1">
      <c r="H489" s="2"/>
      <c r="M489" s="3"/>
      <c r="N489" s="3"/>
      <c r="Q489" s="3"/>
    </row>
    <row r="490" spans="8:17" ht="14.25" customHeight="1">
      <c r="H490" s="2"/>
      <c r="M490" s="3"/>
      <c r="N490" s="3"/>
      <c r="Q490" s="3"/>
    </row>
    <row r="491" spans="8:17" ht="14.25" customHeight="1">
      <c r="H491" s="2"/>
      <c r="M491" s="3"/>
      <c r="N491" s="3"/>
      <c r="Q491" s="3"/>
    </row>
    <row r="492" spans="8:17" ht="14.25" customHeight="1">
      <c r="H492" s="2"/>
      <c r="M492" s="3"/>
      <c r="N492" s="3"/>
      <c r="Q492" s="3"/>
    </row>
    <row r="493" spans="8:17" ht="14.25" customHeight="1">
      <c r="H493" s="2"/>
      <c r="M493" s="3"/>
      <c r="N493" s="3"/>
      <c r="Q493" s="3"/>
    </row>
    <row r="494" spans="8:17" ht="14.25" customHeight="1">
      <c r="H494" s="2"/>
      <c r="M494" s="3"/>
      <c r="N494" s="3"/>
      <c r="Q494" s="3"/>
    </row>
    <row r="495" spans="8:17" ht="14.25" customHeight="1">
      <c r="H495" s="2"/>
      <c r="M495" s="3"/>
      <c r="N495" s="3"/>
      <c r="Q495" s="3"/>
    </row>
    <row r="496" spans="8:17" ht="14.25" customHeight="1">
      <c r="H496" s="2"/>
      <c r="M496" s="3"/>
      <c r="N496" s="3"/>
      <c r="Q496" s="3"/>
    </row>
    <row r="497" spans="8:17" ht="14.25" customHeight="1">
      <c r="H497" s="2"/>
      <c r="M497" s="3"/>
      <c r="N497" s="3"/>
      <c r="Q497" s="3"/>
    </row>
    <row r="498" spans="8:17" ht="14.25" customHeight="1">
      <c r="H498" s="2"/>
      <c r="M498" s="3"/>
      <c r="N498" s="3"/>
      <c r="Q498" s="3"/>
    </row>
    <row r="499" spans="8:17" ht="14.25" customHeight="1">
      <c r="H499" s="2"/>
      <c r="M499" s="3"/>
      <c r="N499" s="3"/>
      <c r="Q499" s="3"/>
    </row>
    <row r="500" spans="8:17" ht="14.25" customHeight="1">
      <c r="H500" s="2"/>
      <c r="M500" s="3"/>
      <c r="N500" s="3"/>
      <c r="Q500" s="3"/>
    </row>
    <row r="501" spans="8:17" ht="14.25" customHeight="1">
      <c r="H501" s="2"/>
      <c r="M501" s="3"/>
      <c r="N501" s="3"/>
      <c r="Q501" s="3"/>
    </row>
    <row r="502" spans="8:17" ht="14.25" customHeight="1">
      <c r="H502" s="2"/>
      <c r="M502" s="3"/>
      <c r="N502" s="3"/>
      <c r="Q502" s="3"/>
    </row>
    <row r="503" spans="8:17" ht="14.25" customHeight="1">
      <c r="H503" s="2"/>
      <c r="M503" s="3"/>
      <c r="N503" s="3"/>
      <c r="Q503" s="3"/>
    </row>
    <row r="504" spans="8:17" ht="14.25" customHeight="1">
      <c r="H504" s="2"/>
      <c r="M504" s="3"/>
      <c r="N504" s="3"/>
      <c r="Q504" s="3"/>
    </row>
    <row r="505" spans="8:17" ht="14.25" customHeight="1">
      <c r="H505" s="2"/>
      <c r="M505" s="3"/>
      <c r="N505" s="3"/>
      <c r="Q505" s="3"/>
    </row>
    <row r="506" spans="8:17" ht="14.25" customHeight="1">
      <c r="H506" s="2"/>
      <c r="M506" s="3"/>
      <c r="N506" s="3"/>
      <c r="Q506" s="3"/>
    </row>
    <row r="507" spans="8:17" ht="14.25" customHeight="1">
      <c r="H507" s="2"/>
      <c r="M507" s="3"/>
      <c r="N507" s="3"/>
      <c r="Q507" s="3"/>
    </row>
    <row r="508" spans="8:17" ht="14.25" customHeight="1">
      <c r="H508" s="2"/>
      <c r="M508" s="3"/>
      <c r="N508" s="3"/>
      <c r="Q508" s="3"/>
    </row>
    <row r="509" spans="8:17" ht="14.25" customHeight="1">
      <c r="H509" s="2"/>
      <c r="M509" s="3"/>
      <c r="N509" s="3"/>
      <c r="Q509" s="3"/>
    </row>
    <row r="510" spans="8:17" ht="14.25" customHeight="1">
      <c r="H510" s="2"/>
      <c r="M510" s="3"/>
      <c r="N510" s="3"/>
      <c r="Q510" s="3"/>
    </row>
    <row r="511" spans="8:17" ht="14.25" customHeight="1">
      <c r="H511" s="2"/>
      <c r="M511" s="3"/>
      <c r="N511" s="3"/>
      <c r="Q511" s="3"/>
    </row>
    <row r="512" spans="8:17" ht="14.25" customHeight="1">
      <c r="H512" s="2"/>
      <c r="M512" s="3"/>
      <c r="N512" s="3"/>
      <c r="Q512" s="3"/>
    </row>
    <row r="513" spans="8:17" ht="14.25" customHeight="1">
      <c r="H513" s="2"/>
      <c r="M513" s="3"/>
      <c r="N513" s="3"/>
      <c r="Q513" s="3"/>
    </row>
    <row r="514" spans="8:17" ht="14.25" customHeight="1">
      <c r="H514" s="2"/>
      <c r="M514" s="3"/>
      <c r="N514" s="3"/>
      <c r="Q514" s="3"/>
    </row>
    <row r="515" spans="8:17" ht="14.25" customHeight="1">
      <c r="H515" s="2"/>
      <c r="M515" s="3"/>
      <c r="N515" s="3"/>
      <c r="Q515" s="3"/>
    </row>
    <row r="516" spans="8:17" ht="14.25" customHeight="1">
      <c r="H516" s="2"/>
      <c r="M516" s="3"/>
      <c r="N516" s="3"/>
      <c r="Q516" s="3"/>
    </row>
    <row r="517" spans="8:17" ht="14.25" customHeight="1">
      <c r="H517" s="2"/>
      <c r="M517" s="3"/>
      <c r="N517" s="3"/>
      <c r="Q517" s="3"/>
    </row>
    <row r="518" spans="8:17" ht="14.25" customHeight="1">
      <c r="H518" s="2"/>
      <c r="M518" s="3"/>
      <c r="N518" s="3"/>
      <c r="Q518" s="3"/>
    </row>
    <row r="519" spans="8:17" ht="14.25" customHeight="1">
      <c r="H519" s="2"/>
      <c r="M519" s="3"/>
      <c r="N519" s="3"/>
      <c r="Q519" s="3"/>
    </row>
    <row r="520" spans="8:17" ht="14.25" customHeight="1">
      <c r="H520" s="2"/>
      <c r="M520" s="3"/>
      <c r="N520" s="3"/>
      <c r="Q520" s="3"/>
    </row>
    <row r="521" spans="8:17" ht="14.25" customHeight="1">
      <c r="H521" s="2"/>
      <c r="M521" s="3"/>
      <c r="N521" s="3"/>
      <c r="Q521" s="3"/>
    </row>
    <row r="522" spans="8:17" ht="14.25" customHeight="1">
      <c r="H522" s="2"/>
      <c r="M522" s="3"/>
      <c r="N522" s="3"/>
      <c r="Q522" s="3"/>
    </row>
    <row r="523" spans="8:17" ht="14.25" customHeight="1">
      <c r="H523" s="2"/>
      <c r="M523" s="3"/>
      <c r="N523" s="3"/>
      <c r="Q523" s="3"/>
    </row>
    <row r="524" spans="8:17" ht="14.25" customHeight="1">
      <c r="H524" s="2"/>
      <c r="M524" s="3"/>
      <c r="N524" s="3"/>
      <c r="Q524" s="3"/>
    </row>
    <row r="525" spans="8:17" ht="14.25" customHeight="1">
      <c r="H525" s="2"/>
      <c r="M525" s="3"/>
      <c r="N525" s="3"/>
      <c r="Q525" s="3"/>
    </row>
    <row r="526" spans="8:17" ht="14.25" customHeight="1">
      <c r="H526" s="2"/>
      <c r="M526" s="3"/>
      <c r="N526" s="3"/>
      <c r="Q526" s="3"/>
    </row>
    <row r="527" spans="8:17" ht="14.25" customHeight="1">
      <c r="H527" s="2"/>
      <c r="M527" s="3"/>
      <c r="N527" s="3"/>
      <c r="Q527" s="3"/>
    </row>
    <row r="528" spans="8:17" ht="14.25" customHeight="1">
      <c r="H528" s="2"/>
      <c r="M528" s="3"/>
      <c r="N528" s="3"/>
      <c r="Q528" s="3"/>
    </row>
    <row r="529" spans="8:17" ht="14.25" customHeight="1">
      <c r="H529" s="2"/>
      <c r="M529" s="3"/>
      <c r="N529" s="3"/>
      <c r="Q529" s="3"/>
    </row>
    <row r="530" spans="8:17" ht="14.25" customHeight="1">
      <c r="H530" s="2"/>
      <c r="M530" s="3"/>
      <c r="N530" s="3"/>
      <c r="Q530" s="3"/>
    </row>
    <row r="531" spans="8:17" ht="14.25" customHeight="1">
      <c r="H531" s="2"/>
      <c r="M531" s="3"/>
      <c r="N531" s="3"/>
      <c r="Q531" s="3"/>
    </row>
    <row r="532" spans="8:17" ht="14.25" customHeight="1">
      <c r="H532" s="2"/>
      <c r="M532" s="3"/>
      <c r="N532" s="3"/>
      <c r="Q532" s="3"/>
    </row>
    <row r="533" spans="8:17" ht="14.25" customHeight="1">
      <c r="H533" s="2"/>
      <c r="M533" s="3"/>
      <c r="N533" s="3"/>
      <c r="Q533" s="3"/>
    </row>
    <row r="534" spans="8:17" ht="14.25" customHeight="1">
      <c r="H534" s="2"/>
      <c r="M534" s="3"/>
      <c r="N534" s="3"/>
      <c r="Q534" s="3"/>
    </row>
    <row r="535" spans="8:17" ht="14.25" customHeight="1">
      <c r="H535" s="2"/>
      <c r="M535" s="3"/>
      <c r="N535" s="3"/>
      <c r="Q535" s="3"/>
    </row>
    <row r="536" spans="8:17" ht="14.25" customHeight="1">
      <c r="H536" s="2"/>
      <c r="M536" s="3"/>
      <c r="N536" s="3"/>
      <c r="Q536" s="3"/>
    </row>
    <row r="537" spans="8:17" ht="14.25" customHeight="1">
      <c r="H537" s="2"/>
      <c r="M537" s="3"/>
      <c r="N537" s="3"/>
      <c r="Q537" s="3"/>
    </row>
    <row r="538" spans="8:17" ht="14.25" customHeight="1">
      <c r="H538" s="2"/>
      <c r="M538" s="3"/>
      <c r="N538" s="3"/>
      <c r="Q538" s="3"/>
    </row>
    <row r="539" spans="8:17" ht="14.25" customHeight="1">
      <c r="H539" s="2"/>
      <c r="M539" s="3"/>
      <c r="N539" s="3"/>
      <c r="Q539" s="3"/>
    </row>
    <row r="540" spans="8:17" ht="14.25" customHeight="1">
      <c r="H540" s="2"/>
      <c r="M540" s="3"/>
      <c r="N540" s="3"/>
      <c r="Q540" s="3"/>
    </row>
    <row r="541" spans="8:17" ht="14.25" customHeight="1">
      <c r="H541" s="2"/>
      <c r="M541" s="3"/>
      <c r="N541" s="3"/>
      <c r="Q541" s="3"/>
    </row>
    <row r="542" spans="8:17" ht="14.25" customHeight="1">
      <c r="H542" s="2"/>
      <c r="M542" s="3"/>
      <c r="N542" s="3"/>
      <c r="Q542" s="3"/>
    </row>
    <row r="543" spans="8:17" ht="14.25" customHeight="1">
      <c r="H543" s="2"/>
      <c r="M543" s="3"/>
      <c r="N543" s="3"/>
      <c r="Q543" s="3"/>
    </row>
    <row r="544" spans="8:17" ht="14.25" customHeight="1">
      <c r="H544" s="2"/>
      <c r="M544" s="3"/>
      <c r="N544" s="3"/>
      <c r="Q544" s="3"/>
    </row>
    <row r="545" spans="8:17" ht="14.25" customHeight="1">
      <c r="H545" s="2"/>
      <c r="M545" s="3"/>
      <c r="N545" s="3"/>
      <c r="Q545" s="3"/>
    </row>
    <row r="546" spans="8:17" ht="14.25" customHeight="1">
      <c r="H546" s="2"/>
      <c r="M546" s="3"/>
      <c r="N546" s="3"/>
      <c r="Q546" s="3"/>
    </row>
    <row r="547" spans="8:17" ht="14.25" customHeight="1">
      <c r="H547" s="2"/>
      <c r="M547" s="3"/>
      <c r="N547" s="3"/>
      <c r="Q547" s="3"/>
    </row>
    <row r="548" spans="8:17" ht="14.25" customHeight="1">
      <c r="H548" s="2"/>
      <c r="M548" s="3"/>
      <c r="N548" s="3"/>
      <c r="Q548" s="3"/>
    </row>
    <row r="549" spans="8:17" ht="14.25" customHeight="1">
      <c r="H549" s="2"/>
      <c r="M549" s="3"/>
      <c r="N549" s="3"/>
      <c r="Q549" s="3"/>
    </row>
    <row r="550" spans="8:17" ht="14.25" customHeight="1">
      <c r="H550" s="2"/>
      <c r="M550" s="3"/>
      <c r="N550" s="3"/>
      <c r="Q550" s="3"/>
    </row>
    <row r="551" spans="8:17" ht="14.25" customHeight="1">
      <c r="H551" s="2"/>
      <c r="M551" s="3"/>
      <c r="N551" s="3"/>
      <c r="Q551" s="3"/>
    </row>
    <row r="552" spans="8:17" ht="14.25" customHeight="1">
      <c r="H552" s="2"/>
      <c r="M552" s="3"/>
      <c r="N552" s="3"/>
      <c r="Q552" s="3"/>
    </row>
    <row r="553" spans="8:17" ht="14.25" customHeight="1">
      <c r="H553" s="2"/>
      <c r="M553" s="3"/>
      <c r="N553" s="3"/>
      <c r="Q553" s="3"/>
    </row>
    <row r="554" spans="8:17" ht="14.25" customHeight="1">
      <c r="H554" s="2"/>
      <c r="M554" s="3"/>
      <c r="N554" s="3"/>
      <c r="Q554" s="3"/>
    </row>
    <row r="555" spans="8:17" ht="14.25" customHeight="1">
      <c r="H555" s="2"/>
      <c r="M555" s="3"/>
      <c r="N555" s="3"/>
      <c r="Q555" s="3"/>
    </row>
    <row r="556" spans="8:17" ht="14.25" customHeight="1">
      <c r="H556" s="2"/>
      <c r="M556" s="3"/>
      <c r="N556" s="3"/>
      <c r="Q556" s="3"/>
    </row>
    <row r="557" spans="8:17" ht="14.25" customHeight="1">
      <c r="H557" s="2"/>
      <c r="M557" s="3"/>
      <c r="N557" s="3"/>
      <c r="Q557" s="3"/>
    </row>
    <row r="558" spans="8:17" ht="14.25" customHeight="1">
      <c r="H558" s="2"/>
      <c r="M558" s="3"/>
      <c r="N558" s="3"/>
      <c r="Q558" s="3"/>
    </row>
    <row r="559" spans="8:17" ht="14.25" customHeight="1">
      <c r="H559" s="2"/>
      <c r="M559" s="3"/>
      <c r="N559" s="3"/>
      <c r="Q559" s="3"/>
    </row>
    <row r="560" spans="8:17" ht="14.25" customHeight="1">
      <c r="H560" s="2"/>
      <c r="M560" s="3"/>
      <c r="N560" s="3"/>
      <c r="Q560" s="3"/>
    </row>
    <row r="561" spans="8:17" ht="14.25" customHeight="1">
      <c r="H561" s="2"/>
      <c r="M561" s="3"/>
      <c r="N561" s="3"/>
      <c r="Q561" s="3"/>
    </row>
    <row r="562" spans="8:17" ht="14.25" customHeight="1">
      <c r="H562" s="2"/>
      <c r="M562" s="3"/>
      <c r="N562" s="3"/>
      <c r="Q562" s="3"/>
    </row>
    <row r="563" spans="8:17" ht="14.25" customHeight="1">
      <c r="H563" s="2"/>
      <c r="M563" s="3"/>
      <c r="N563" s="3"/>
      <c r="Q563" s="3"/>
    </row>
    <row r="564" spans="8:17" ht="14.25" customHeight="1">
      <c r="H564" s="2"/>
      <c r="M564" s="3"/>
      <c r="N564" s="3"/>
      <c r="Q564" s="3"/>
    </row>
    <row r="565" spans="8:17" ht="14.25" customHeight="1">
      <c r="H565" s="2"/>
      <c r="M565" s="3"/>
      <c r="N565" s="3"/>
      <c r="Q565" s="3"/>
    </row>
    <row r="566" spans="8:17" ht="14.25" customHeight="1">
      <c r="H566" s="2"/>
      <c r="M566" s="3"/>
      <c r="N566" s="3"/>
      <c r="Q566" s="3"/>
    </row>
    <row r="567" spans="8:17" ht="14.25" customHeight="1">
      <c r="H567" s="2"/>
      <c r="M567" s="3"/>
      <c r="N567" s="3"/>
      <c r="Q567" s="3"/>
    </row>
    <row r="568" spans="8:17" ht="14.25" customHeight="1">
      <c r="H568" s="2"/>
      <c r="M568" s="3"/>
      <c r="N568" s="3"/>
      <c r="Q568" s="3"/>
    </row>
    <row r="569" spans="8:17" ht="14.25" customHeight="1">
      <c r="H569" s="2"/>
      <c r="M569" s="3"/>
      <c r="N569" s="3"/>
      <c r="Q569" s="3"/>
    </row>
    <row r="570" spans="8:17" ht="14.25" customHeight="1">
      <c r="H570" s="2"/>
      <c r="M570" s="3"/>
      <c r="N570" s="3"/>
      <c r="Q570" s="3"/>
    </row>
    <row r="571" spans="8:17" ht="14.25" customHeight="1">
      <c r="H571" s="2"/>
      <c r="M571" s="3"/>
      <c r="N571" s="3"/>
      <c r="Q571" s="3"/>
    </row>
    <row r="572" spans="8:17" ht="14.25" customHeight="1">
      <c r="H572" s="2"/>
      <c r="M572" s="3"/>
      <c r="N572" s="3"/>
      <c r="Q572" s="3"/>
    </row>
    <row r="573" spans="8:17" ht="14.25" customHeight="1">
      <c r="H573" s="2"/>
      <c r="M573" s="3"/>
      <c r="N573" s="3"/>
      <c r="Q573" s="3"/>
    </row>
    <row r="574" spans="8:17" ht="14.25" customHeight="1">
      <c r="H574" s="2"/>
      <c r="M574" s="3"/>
      <c r="N574" s="3"/>
      <c r="Q574" s="3"/>
    </row>
    <row r="575" spans="8:17" ht="14.25" customHeight="1">
      <c r="H575" s="2"/>
      <c r="M575" s="3"/>
      <c r="N575" s="3"/>
      <c r="Q575" s="3"/>
    </row>
    <row r="576" spans="8:17" ht="14.25" customHeight="1">
      <c r="H576" s="2"/>
      <c r="M576" s="3"/>
      <c r="N576" s="3"/>
      <c r="Q576" s="3"/>
    </row>
    <row r="577" spans="8:17" ht="14.25" customHeight="1">
      <c r="H577" s="2"/>
      <c r="M577" s="3"/>
      <c r="N577" s="3"/>
      <c r="Q577" s="3"/>
    </row>
    <row r="578" spans="8:17" ht="14.25" customHeight="1">
      <c r="H578" s="2"/>
      <c r="M578" s="3"/>
      <c r="N578" s="3"/>
      <c r="Q578" s="3"/>
    </row>
    <row r="579" spans="8:17" ht="14.25" customHeight="1">
      <c r="H579" s="2"/>
      <c r="M579" s="3"/>
      <c r="N579" s="3"/>
      <c r="Q579" s="3"/>
    </row>
    <row r="580" spans="8:17" ht="14.25" customHeight="1">
      <c r="H580" s="2"/>
      <c r="M580" s="3"/>
      <c r="N580" s="3"/>
      <c r="Q580" s="3"/>
    </row>
    <row r="581" spans="8:17" ht="14.25" customHeight="1">
      <c r="H581" s="2"/>
      <c r="M581" s="3"/>
      <c r="N581" s="3"/>
      <c r="Q581" s="3"/>
    </row>
    <row r="582" spans="8:17" ht="14.25" customHeight="1">
      <c r="H582" s="2"/>
      <c r="M582" s="3"/>
      <c r="N582" s="3"/>
      <c r="Q582" s="3"/>
    </row>
    <row r="583" spans="8:17" ht="14.25" customHeight="1">
      <c r="H583" s="2"/>
      <c r="M583" s="3"/>
      <c r="N583" s="3"/>
      <c r="Q583" s="3"/>
    </row>
    <row r="584" spans="8:17" ht="14.25" customHeight="1">
      <c r="H584" s="2"/>
      <c r="M584" s="3"/>
      <c r="N584" s="3"/>
      <c r="Q584" s="3"/>
    </row>
    <row r="585" spans="8:17" ht="14.25" customHeight="1">
      <c r="H585" s="2"/>
      <c r="M585" s="3"/>
      <c r="N585" s="3"/>
      <c r="Q585" s="3"/>
    </row>
    <row r="586" spans="8:17" ht="14.25" customHeight="1">
      <c r="H586" s="2"/>
      <c r="M586" s="3"/>
      <c r="N586" s="3"/>
      <c r="Q586" s="3"/>
    </row>
    <row r="587" spans="8:17" ht="14.25" customHeight="1">
      <c r="H587" s="2"/>
      <c r="M587" s="3"/>
      <c r="N587" s="3"/>
      <c r="Q587" s="3"/>
    </row>
    <row r="588" spans="8:17" ht="14.25" customHeight="1">
      <c r="H588" s="2"/>
      <c r="M588" s="3"/>
      <c r="N588" s="3"/>
      <c r="Q588" s="3"/>
    </row>
    <row r="589" spans="8:17" ht="14.25" customHeight="1">
      <c r="H589" s="2"/>
      <c r="M589" s="3"/>
      <c r="N589" s="3"/>
      <c r="Q589" s="3"/>
    </row>
    <row r="590" spans="8:17" ht="14.25" customHeight="1">
      <c r="H590" s="2"/>
      <c r="M590" s="3"/>
      <c r="N590" s="3"/>
      <c r="Q590" s="3"/>
    </row>
    <row r="591" spans="8:17" ht="14.25" customHeight="1">
      <c r="H591" s="2"/>
      <c r="M591" s="3"/>
      <c r="N591" s="3"/>
      <c r="Q591" s="3"/>
    </row>
    <row r="592" spans="8:17" ht="14.25" customHeight="1">
      <c r="H592" s="2"/>
      <c r="M592" s="3"/>
      <c r="N592" s="3"/>
      <c r="Q592" s="3"/>
    </row>
    <row r="593" spans="8:17" ht="14.25" customHeight="1">
      <c r="H593" s="2"/>
      <c r="M593" s="3"/>
      <c r="N593" s="3"/>
      <c r="Q593" s="3"/>
    </row>
    <row r="594" spans="8:17" ht="14.25" customHeight="1">
      <c r="H594" s="2"/>
      <c r="M594" s="3"/>
      <c r="N594" s="3"/>
      <c r="Q594" s="3"/>
    </row>
    <row r="595" spans="8:17" ht="14.25" customHeight="1">
      <c r="H595" s="2"/>
      <c r="M595" s="3"/>
      <c r="N595" s="3"/>
      <c r="Q595" s="3"/>
    </row>
    <row r="596" spans="8:17" ht="14.25" customHeight="1">
      <c r="H596" s="2"/>
      <c r="M596" s="3"/>
      <c r="N596" s="3"/>
      <c r="Q596" s="3"/>
    </row>
    <row r="597" spans="8:17" ht="14.25" customHeight="1">
      <c r="H597" s="2"/>
      <c r="M597" s="3"/>
      <c r="N597" s="3"/>
      <c r="Q597" s="3"/>
    </row>
    <row r="598" spans="8:17" ht="14.25" customHeight="1">
      <c r="H598" s="2"/>
      <c r="M598" s="3"/>
      <c r="N598" s="3"/>
      <c r="Q598" s="3"/>
    </row>
    <row r="599" spans="8:17" ht="14.25" customHeight="1">
      <c r="H599" s="2"/>
      <c r="M599" s="3"/>
      <c r="N599" s="3"/>
      <c r="Q599" s="3"/>
    </row>
    <row r="600" spans="8:17" ht="14.25" customHeight="1">
      <c r="H600" s="2"/>
      <c r="M600" s="3"/>
      <c r="N600" s="3"/>
      <c r="Q600" s="3"/>
    </row>
    <row r="601" spans="8:17" ht="14.25" customHeight="1">
      <c r="H601" s="2"/>
      <c r="M601" s="3"/>
      <c r="N601" s="3"/>
      <c r="Q601" s="3"/>
    </row>
    <row r="602" spans="8:17" ht="14.25" customHeight="1">
      <c r="H602" s="2"/>
      <c r="M602" s="3"/>
      <c r="N602" s="3"/>
      <c r="Q602" s="3"/>
    </row>
    <row r="603" spans="8:17" ht="14.25" customHeight="1">
      <c r="H603" s="2"/>
      <c r="M603" s="3"/>
      <c r="N603" s="3"/>
      <c r="Q603" s="3"/>
    </row>
    <row r="604" spans="8:17" ht="14.25" customHeight="1">
      <c r="H604" s="2"/>
      <c r="M604" s="3"/>
      <c r="N604" s="3"/>
      <c r="Q604" s="3"/>
    </row>
    <row r="605" spans="8:17" ht="14.25" customHeight="1">
      <c r="H605" s="2"/>
      <c r="M605" s="3"/>
      <c r="N605" s="3"/>
      <c r="Q605" s="3"/>
    </row>
    <row r="606" spans="8:17" ht="14.25" customHeight="1">
      <c r="H606" s="2"/>
      <c r="M606" s="3"/>
      <c r="N606" s="3"/>
      <c r="Q606" s="3"/>
    </row>
    <row r="607" spans="8:17" ht="14.25" customHeight="1">
      <c r="H607" s="2"/>
      <c r="M607" s="3"/>
      <c r="N607" s="3"/>
      <c r="Q607" s="3"/>
    </row>
    <row r="608" spans="8:17" ht="14.25" customHeight="1">
      <c r="H608" s="2"/>
      <c r="M608" s="3"/>
      <c r="N608" s="3"/>
      <c r="Q608" s="3"/>
    </row>
    <row r="609" spans="8:17" ht="14.25" customHeight="1">
      <c r="H609" s="2"/>
      <c r="M609" s="3"/>
      <c r="N609" s="3"/>
      <c r="Q609" s="3"/>
    </row>
    <row r="610" spans="8:17" ht="14.25" customHeight="1">
      <c r="H610" s="2"/>
      <c r="M610" s="3"/>
      <c r="N610" s="3"/>
      <c r="Q610" s="3"/>
    </row>
    <row r="611" spans="8:17" ht="14.25" customHeight="1">
      <c r="H611" s="2"/>
      <c r="M611" s="3"/>
      <c r="N611" s="3"/>
      <c r="Q611" s="3"/>
    </row>
    <row r="612" spans="8:17" ht="14.25" customHeight="1">
      <c r="H612" s="2"/>
      <c r="M612" s="3"/>
      <c r="N612" s="3"/>
      <c r="Q612" s="3"/>
    </row>
    <row r="613" spans="8:17" ht="14.25" customHeight="1">
      <c r="H613" s="2"/>
      <c r="M613" s="3"/>
      <c r="N613" s="3"/>
      <c r="Q613" s="3"/>
    </row>
    <row r="614" spans="8:17" ht="14.25" customHeight="1">
      <c r="H614" s="2"/>
      <c r="M614" s="3"/>
      <c r="N614" s="3"/>
      <c r="Q614" s="3"/>
    </row>
    <row r="615" spans="8:17" ht="14.25" customHeight="1">
      <c r="H615" s="2"/>
      <c r="M615" s="3"/>
      <c r="N615" s="3"/>
      <c r="Q615" s="3"/>
    </row>
    <row r="616" spans="8:17" ht="14.25" customHeight="1">
      <c r="H616" s="2"/>
      <c r="M616" s="3"/>
      <c r="N616" s="3"/>
      <c r="Q616" s="3"/>
    </row>
    <row r="617" spans="8:17" ht="14.25" customHeight="1">
      <c r="H617" s="2"/>
      <c r="M617" s="3"/>
      <c r="N617" s="3"/>
      <c r="Q617" s="3"/>
    </row>
    <row r="618" spans="8:17" ht="14.25" customHeight="1">
      <c r="H618" s="2"/>
      <c r="M618" s="3"/>
      <c r="N618" s="3"/>
      <c r="Q618" s="3"/>
    </row>
    <row r="619" spans="8:17" ht="14.25" customHeight="1">
      <c r="H619" s="2"/>
      <c r="M619" s="3"/>
      <c r="N619" s="3"/>
      <c r="Q619" s="3"/>
    </row>
    <row r="620" spans="8:17" ht="14.25" customHeight="1">
      <c r="H620" s="2"/>
      <c r="M620" s="3"/>
      <c r="N620" s="3"/>
      <c r="Q620" s="3"/>
    </row>
    <row r="621" spans="8:17" ht="14.25" customHeight="1">
      <c r="H621" s="2"/>
      <c r="M621" s="3"/>
      <c r="N621" s="3"/>
      <c r="Q621" s="3"/>
    </row>
    <row r="622" spans="8:17" ht="14.25" customHeight="1">
      <c r="H622" s="2"/>
      <c r="M622" s="3"/>
      <c r="N622" s="3"/>
      <c r="Q622" s="3"/>
    </row>
    <row r="623" spans="8:17" ht="14.25" customHeight="1">
      <c r="H623" s="2"/>
      <c r="M623" s="3"/>
      <c r="N623" s="3"/>
      <c r="Q623" s="3"/>
    </row>
    <row r="624" spans="8:17" ht="14.25" customHeight="1">
      <c r="H624" s="2"/>
      <c r="M624" s="3"/>
      <c r="N624" s="3"/>
      <c r="Q624" s="3"/>
    </row>
    <row r="625" spans="8:17" ht="14.25" customHeight="1">
      <c r="H625" s="2"/>
      <c r="M625" s="3"/>
      <c r="N625" s="3"/>
      <c r="Q625" s="3"/>
    </row>
    <row r="626" spans="8:17" ht="14.25" customHeight="1">
      <c r="H626" s="2"/>
      <c r="M626" s="3"/>
      <c r="N626" s="3"/>
      <c r="Q626" s="3"/>
    </row>
    <row r="627" spans="8:17" ht="14.25" customHeight="1">
      <c r="H627" s="2"/>
      <c r="M627" s="3"/>
      <c r="N627" s="3"/>
      <c r="Q627" s="3"/>
    </row>
    <row r="628" spans="8:17" ht="14.25" customHeight="1">
      <c r="H628" s="2"/>
      <c r="M628" s="3"/>
      <c r="N628" s="3"/>
      <c r="Q628" s="3"/>
    </row>
    <row r="629" spans="8:17" ht="14.25" customHeight="1">
      <c r="H629" s="2"/>
      <c r="M629" s="3"/>
      <c r="N629" s="3"/>
      <c r="Q629" s="3"/>
    </row>
    <row r="630" spans="8:17" ht="14.25" customHeight="1">
      <c r="H630" s="2"/>
      <c r="M630" s="3"/>
      <c r="N630" s="3"/>
      <c r="Q630" s="3"/>
    </row>
    <row r="631" spans="8:17" ht="14.25" customHeight="1">
      <c r="H631" s="2"/>
      <c r="M631" s="3"/>
      <c r="N631" s="3"/>
      <c r="Q631" s="3"/>
    </row>
    <row r="632" spans="8:17" ht="14.25" customHeight="1">
      <c r="H632" s="2"/>
      <c r="M632" s="3"/>
      <c r="N632" s="3"/>
      <c r="Q632" s="3"/>
    </row>
    <row r="633" spans="8:17" ht="14.25" customHeight="1">
      <c r="H633" s="2"/>
      <c r="M633" s="3"/>
      <c r="N633" s="3"/>
      <c r="Q633" s="3"/>
    </row>
    <row r="634" spans="8:17" ht="14.25" customHeight="1">
      <c r="H634" s="2"/>
      <c r="M634" s="3"/>
      <c r="N634" s="3"/>
      <c r="Q634" s="3"/>
    </row>
    <row r="635" spans="8:17" ht="14.25" customHeight="1">
      <c r="H635" s="2"/>
      <c r="M635" s="3"/>
      <c r="N635" s="3"/>
      <c r="Q635" s="3"/>
    </row>
    <row r="636" spans="8:17" ht="14.25" customHeight="1">
      <c r="H636" s="2"/>
      <c r="M636" s="3"/>
      <c r="N636" s="3"/>
      <c r="Q636" s="3"/>
    </row>
    <row r="637" spans="8:17" ht="14.25" customHeight="1">
      <c r="H637" s="2"/>
      <c r="M637" s="3"/>
      <c r="N637" s="3"/>
      <c r="Q637" s="3"/>
    </row>
    <row r="638" spans="8:17" ht="14.25" customHeight="1">
      <c r="H638" s="2"/>
      <c r="M638" s="3"/>
      <c r="N638" s="3"/>
      <c r="Q638" s="3"/>
    </row>
    <row r="639" spans="8:17" ht="14.25" customHeight="1">
      <c r="H639" s="2"/>
      <c r="M639" s="3"/>
      <c r="N639" s="3"/>
      <c r="Q639" s="3"/>
    </row>
    <row r="640" spans="8:17" ht="14.25" customHeight="1">
      <c r="H640" s="2"/>
      <c r="M640" s="3"/>
      <c r="N640" s="3"/>
      <c r="Q640" s="3"/>
    </row>
    <row r="641" spans="8:17" ht="14.25" customHeight="1">
      <c r="H641" s="2"/>
      <c r="M641" s="3"/>
      <c r="N641" s="3"/>
      <c r="Q641" s="3"/>
    </row>
    <row r="642" spans="8:17" ht="14.25" customHeight="1">
      <c r="H642" s="2"/>
      <c r="M642" s="3"/>
      <c r="N642" s="3"/>
      <c r="Q642" s="3"/>
    </row>
    <row r="643" spans="8:17" ht="14.25" customHeight="1">
      <c r="H643" s="2"/>
      <c r="M643" s="3"/>
      <c r="N643" s="3"/>
      <c r="Q643" s="3"/>
    </row>
    <row r="644" spans="8:17" ht="14.25" customHeight="1">
      <c r="H644" s="2"/>
      <c r="M644" s="3"/>
      <c r="N644" s="3"/>
      <c r="Q644" s="3"/>
    </row>
    <row r="645" spans="8:17" ht="14.25" customHeight="1">
      <c r="H645" s="2"/>
      <c r="M645" s="3"/>
      <c r="N645" s="3"/>
      <c r="Q645" s="3"/>
    </row>
    <row r="646" spans="8:17" ht="14.25" customHeight="1">
      <c r="H646" s="2"/>
      <c r="M646" s="3"/>
      <c r="N646" s="3"/>
      <c r="Q646" s="3"/>
    </row>
    <row r="647" spans="8:17" ht="14.25" customHeight="1">
      <c r="H647" s="2"/>
      <c r="M647" s="3"/>
      <c r="N647" s="3"/>
      <c r="Q647" s="3"/>
    </row>
    <row r="648" spans="8:17" ht="14.25" customHeight="1">
      <c r="H648" s="2"/>
      <c r="M648" s="3"/>
      <c r="N648" s="3"/>
      <c r="Q648" s="3"/>
    </row>
    <row r="649" spans="8:17" ht="14.25" customHeight="1">
      <c r="H649" s="2"/>
      <c r="M649" s="3"/>
      <c r="N649" s="3"/>
      <c r="Q649" s="3"/>
    </row>
    <row r="650" spans="8:17" ht="14.25" customHeight="1">
      <c r="H650" s="2"/>
      <c r="M650" s="3"/>
      <c r="N650" s="3"/>
      <c r="Q650" s="3"/>
    </row>
    <row r="651" spans="8:17" ht="14.25" customHeight="1">
      <c r="H651" s="2"/>
      <c r="M651" s="3"/>
      <c r="N651" s="3"/>
      <c r="Q651" s="3"/>
    </row>
    <row r="652" spans="8:17" ht="14.25" customHeight="1">
      <c r="H652" s="2"/>
      <c r="M652" s="3"/>
      <c r="N652" s="3"/>
      <c r="Q652" s="3"/>
    </row>
    <row r="653" spans="8:17" ht="14.25" customHeight="1">
      <c r="H653" s="2"/>
      <c r="M653" s="3"/>
      <c r="N653" s="3"/>
      <c r="Q653" s="3"/>
    </row>
    <row r="654" spans="8:17" ht="14.25" customHeight="1">
      <c r="H654" s="2"/>
      <c r="M654" s="3"/>
      <c r="N654" s="3"/>
      <c r="Q654" s="3"/>
    </row>
    <row r="655" spans="8:17" ht="14.25" customHeight="1">
      <c r="H655" s="2"/>
      <c r="M655" s="3"/>
      <c r="N655" s="3"/>
      <c r="Q655" s="3"/>
    </row>
    <row r="656" spans="8:17" ht="14.25" customHeight="1">
      <c r="H656" s="2"/>
      <c r="M656" s="3"/>
      <c r="N656" s="3"/>
      <c r="Q656" s="3"/>
    </row>
    <row r="657" spans="8:17" ht="14.25" customHeight="1">
      <c r="H657" s="2"/>
      <c r="M657" s="3"/>
      <c r="N657" s="3"/>
      <c r="Q657" s="3"/>
    </row>
    <row r="658" spans="8:17" ht="14.25" customHeight="1">
      <c r="H658" s="2"/>
      <c r="M658" s="3"/>
      <c r="N658" s="3"/>
      <c r="Q658" s="3"/>
    </row>
    <row r="659" spans="8:17" ht="14.25" customHeight="1">
      <c r="H659" s="2"/>
      <c r="M659" s="3"/>
      <c r="N659" s="3"/>
      <c r="Q659" s="3"/>
    </row>
    <row r="660" spans="8:17" ht="14.25" customHeight="1">
      <c r="H660" s="2"/>
      <c r="M660" s="3"/>
      <c r="N660" s="3"/>
      <c r="Q660" s="3"/>
    </row>
    <row r="661" spans="8:17" ht="14.25" customHeight="1">
      <c r="H661" s="2"/>
      <c r="M661" s="3"/>
      <c r="N661" s="3"/>
      <c r="Q661" s="3"/>
    </row>
    <row r="662" spans="8:17" ht="14.25" customHeight="1">
      <c r="H662" s="2"/>
      <c r="M662" s="3"/>
      <c r="N662" s="3"/>
      <c r="Q662" s="3"/>
    </row>
    <row r="663" spans="8:17" ht="14.25" customHeight="1">
      <c r="H663" s="2"/>
      <c r="M663" s="3"/>
      <c r="N663" s="3"/>
      <c r="Q663" s="3"/>
    </row>
    <row r="664" spans="8:17" ht="14.25" customHeight="1">
      <c r="H664" s="2"/>
      <c r="M664" s="3"/>
      <c r="N664" s="3"/>
      <c r="Q664" s="3"/>
    </row>
    <row r="665" spans="8:17" ht="14.25" customHeight="1">
      <c r="H665" s="2"/>
      <c r="M665" s="3"/>
      <c r="N665" s="3"/>
      <c r="Q665" s="3"/>
    </row>
    <row r="666" spans="8:17" ht="14.25" customHeight="1">
      <c r="H666" s="2"/>
      <c r="M666" s="3"/>
      <c r="N666" s="3"/>
      <c r="Q666" s="3"/>
    </row>
    <row r="667" spans="8:17" ht="14.25" customHeight="1">
      <c r="H667" s="2"/>
      <c r="M667" s="3"/>
      <c r="N667" s="3"/>
      <c r="Q667" s="3"/>
    </row>
    <row r="668" spans="8:17" ht="14.25" customHeight="1">
      <c r="H668" s="2"/>
      <c r="M668" s="3"/>
      <c r="N668" s="3"/>
      <c r="Q668" s="3"/>
    </row>
    <row r="669" spans="8:17" ht="14.25" customHeight="1">
      <c r="H669" s="2"/>
      <c r="M669" s="3"/>
      <c r="N669" s="3"/>
      <c r="Q669" s="3"/>
    </row>
    <row r="670" spans="8:17" ht="14.25" customHeight="1">
      <c r="H670" s="2"/>
      <c r="M670" s="3"/>
      <c r="N670" s="3"/>
      <c r="Q670" s="3"/>
    </row>
    <row r="671" spans="8:17" ht="14.25" customHeight="1">
      <c r="H671" s="2"/>
      <c r="M671" s="3"/>
      <c r="N671" s="3"/>
      <c r="Q671" s="3"/>
    </row>
    <row r="672" spans="8:17" ht="14.25" customHeight="1">
      <c r="H672" s="2"/>
      <c r="M672" s="3"/>
      <c r="N672" s="3"/>
      <c r="Q672" s="3"/>
    </row>
    <row r="673" spans="8:17" ht="14.25" customHeight="1">
      <c r="H673" s="2"/>
      <c r="M673" s="3"/>
      <c r="N673" s="3"/>
      <c r="Q673" s="3"/>
    </row>
    <row r="674" spans="8:17" ht="14.25" customHeight="1">
      <c r="H674" s="2"/>
      <c r="M674" s="3"/>
      <c r="N674" s="3"/>
      <c r="Q674" s="3"/>
    </row>
    <row r="675" spans="8:17" ht="14.25" customHeight="1">
      <c r="H675" s="2"/>
      <c r="M675" s="3"/>
      <c r="N675" s="3"/>
      <c r="Q675" s="3"/>
    </row>
    <row r="676" spans="8:17" ht="14.25" customHeight="1">
      <c r="H676" s="2"/>
      <c r="M676" s="3"/>
      <c r="N676" s="3"/>
      <c r="Q676" s="3"/>
    </row>
    <row r="677" spans="8:17" ht="14.25" customHeight="1">
      <c r="H677" s="2"/>
      <c r="M677" s="3"/>
      <c r="N677" s="3"/>
      <c r="Q677" s="3"/>
    </row>
    <row r="678" spans="8:17" ht="14.25" customHeight="1">
      <c r="H678" s="2"/>
      <c r="M678" s="3"/>
      <c r="N678" s="3"/>
      <c r="Q678" s="3"/>
    </row>
    <row r="679" spans="8:17" ht="14.25" customHeight="1">
      <c r="H679" s="2"/>
      <c r="M679" s="3"/>
      <c r="N679" s="3"/>
      <c r="Q679" s="3"/>
    </row>
    <row r="680" spans="8:17" ht="14.25" customHeight="1">
      <c r="H680" s="2"/>
      <c r="M680" s="3"/>
      <c r="N680" s="3"/>
      <c r="Q680" s="3"/>
    </row>
    <row r="681" spans="8:17" ht="14.25" customHeight="1">
      <c r="H681" s="2"/>
      <c r="M681" s="3"/>
      <c r="N681" s="3"/>
      <c r="Q681" s="3"/>
    </row>
    <row r="682" spans="8:17" ht="14.25" customHeight="1">
      <c r="H682" s="2"/>
      <c r="M682" s="3"/>
      <c r="N682" s="3"/>
      <c r="Q682" s="3"/>
    </row>
    <row r="683" spans="8:17" ht="14.25" customHeight="1">
      <c r="H683" s="2"/>
      <c r="M683" s="3"/>
      <c r="N683" s="3"/>
      <c r="Q683" s="3"/>
    </row>
    <row r="684" spans="8:17" ht="14.25" customHeight="1">
      <c r="H684" s="2"/>
      <c r="M684" s="3"/>
      <c r="N684" s="3"/>
      <c r="Q684" s="3"/>
    </row>
    <row r="685" spans="8:17" ht="14.25" customHeight="1">
      <c r="H685" s="2"/>
      <c r="M685" s="3"/>
      <c r="N685" s="3"/>
      <c r="Q685" s="3"/>
    </row>
    <row r="686" spans="8:17" ht="14.25" customHeight="1">
      <c r="H686" s="2"/>
      <c r="M686" s="3"/>
      <c r="N686" s="3"/>
      <c r="Q686" s="3"/>
    </row>
    <row r="687" spans="8:17" ht="14.25" customHeight="1">
      <c r="H687" s="2"/>
      <c r="M687" s="3"/>
      <c r="N687" s="3"/>
      <c r="Q687" s="3"/>
    </row>
    <row r="688" spans="8:17" ht="14.25" customHeight="1">
      <c r="H688" s="2"/>
      <c r="M688" s="3"/>
      <c r="N688" s="3"/>
      <c r="Q688" s="3"/>
    </row>
    <row r="689" spans="8:17" ht="14.25" customHeight="1">
      <c r="H689" s="2"/>
      <c r="M689" s="3"/>
      <c r="N689" s="3"/>
      <c r="Q689" s="3"/>
    </row>
    <row r="690" spans="8:17" ht="14.25" customHeight="1">
      <c r="H690" s="2"/>
      <c r="M690" s="3"/>
      <c r="N690" s="3"/>
      <c r="Q690" s="3"/>
    </row>
    <row r="691" spans="8:17" ht="14.25" customHeight="1">
      <c r="H691" s="2"/>
      <c r="M691" s="3"/>
      <c r="N691" s="3"/>
      <c r="Q691" s="3"/>
    </row>
    <row r="692" spans="8:17" ht="14.25" customHeight="1">
      <c r="H692" s="2"/>
      <c r="M692" s="3"/>
      <c r="N692" s="3"/>
      <c r="Q692" s="3"/>
    </row>
    <row r="693" spans="8:17" ht="14.25" customHeight="1">
      <c r="H693" s="2"/>
      <c r="M693" s="3"/>
      <c r="N693" s="3"/>
      <c r="Q693" s="3"/>
    </row>
    <row r="694" spans="8:17" ht="14.25" customHeight="1">
      <c r="H694" s="2"/>
      <c r="M694" s="3"/>
      <c r="N694" s="3"/>
      <c r="Q694" s="3"/>
    </row>
    <row r="695" spans="8:17" ht="14.25" customHeight="1">
      <c r="H695" s="2"/>
      <c r="M695" s="3"/>
      <c r="N695" s="3"/>
      <c r="Q695" s="3"/>
    </row>
    <row r="696" spans="8:17" ht="14.25" customHeight="1">
      <c r="H696" s="2"/>
      <c r="M696" s="3"/>
      <c r="N696" s="3"/>
      <c r="Q696" s="3"/>
    </row>
    <row r="697" spans="8:17" ht="14.25" customHeight="1">
      <c r="H697" s="2"/>
      <c r="M697" s="3"/>
      <c r="N697" s="3"/>
      <c r="Q697" s="3"/>
    </row>
    <row r="698" spans="8:17" ht="14.25" customHeight="1">
      <c r="H698" s="2"/>
      <c r="M698" s="3"/>
      <c r="N698" s="3"/>
      <c r="Q698" s="3"/>
    </row>
    <row r="699" spans="8:17" ht="14.25" customHeight="1">
      <c r="H699" s="2"/>
      <c r="M699" s="3"/>
      <c r="N699" s="3"/>
      <c r="Q699" s="3"/>
    </row>
    <row r="700" spans="8:17" ht="14.25" customHeight="1">
      <c r="H700" s="2"/>
      <c r="M700" s="3"/>
      <c r="N700" s="3"/>
      <c r="Q700" s="3"/>
    </row>
    <row r="701" spans="8:17" ht="14.25" customHeight="1">
      <c r="H701" s="2"/>
      <c r="M701" s="3"/>
      <c r="N701" s="3"/>
      <c r="Q701" s="3"/>
    </row>
    <row r="702" spans="8:17" ht="14.25" customHeight="1">
      <c r="H702" s="2"/>
      <c r="M702" s="3"/>
      <c r="N702" s="3"/>
      <c r="Q702" s="3"/>
    </row>
    <row r="703" spans="8:17" ht="14.25" customHeight="1">
      <c r="H703" s="2"/>
      <c r="M703" s="3"/>
      <c r="N703" s="3"/>
      <c r="Q703" s="3"/>
    </row>
    <row r="704" spans="8:17" ht="14.25" customHeight="1">
      <c r="H704" s="2"/>
      <c r="M704" s="3"/>
      <c r="N704" s="3"/>
      <c r="Q704" s="3"/>
    </row>
    <row r="705" spans="8:17" ht="14.25" customHeight="1">
      <c r="H705" s="2"/>
      <c r="M705" s="3"/>
      <c r="N705" s="3"/>
      <c r="Q705" s="3"/>
    </row>
    <row r="706" spans="8:17" ht="14.25" customHeight="1">
      <c r="H706" s="2"/>
      <c r="M706" s="3"/>
      <c r="N706" s="3"/>
      <c r="Q706" s="3"/>
    </row>
    <row r="707" spans="8:17" ht="14.25" customHeight="1">
      <c r="H707" s="2"/>
      <c r="M707" s="3"/>
      <c r="N707" s="3"/>
      <c r="Q707" s="3"/>
    </row>
    <row r="708" spans="8:17" ht="14.25" customHeight="1">
      <c r="H708" s="2"/>
      <c r="M708" s="3"/>
      <c r="N708" s="3"/>
      <c r="Q708" s="3"/>
    </row>
    <row r="709" spans="8:17" ht="14.25" customHeight="1">
      <c r="H709" s="2"/>
      <c r="M709" s="3"/>
      <c r="N709" s="3"/>
      <c r="Q709" s="3"/>
    </row>
    <row r="710" spans="8:17" ht="14.25" customHeight="1">
      <c r="H710" s="2"/>
      <c r="M710" s="3"/>
      <c r="N710" s="3"/>
      <c r="Q710" s="3"/>
    </row>
    <row r="711" spans="8:17" ht="14.25" customHeight="1">
      <c r="H711" s="2"/>
      <c r="M711" s="3"/>
      <c r="N711" s="3"/>
      <c r="Q711" s="3"/>
    </row>
    <row r="712" spans="8:17" ht="14.25" customHeight="1">
      <c r="H712" s="2"/>
      <c r="M712" s="3"/>
      <c r="N712" s="3"/>
      <c r="Q712" s="3"/>
    </row>
    <row r="713" spans="8:17" ht="14.25" customHeight="1">
      <c r="H713" s="2"/>
      <c r="M713" s="3"/>
      <c r="N713" s="3"/>
      <c r="Q713" s="3"/>
    </row>
    <row r="714" spans="8:17" ht="14.25" customHeight="1">
      <c r="H714" s="2"/>
      <c r="M714" s="3"/>
      <c r="N714" s="3"/>
      <c r="Q714" s="3"/>
    </row>
    <row r="715" spans="8:17" ht="14.25" customHeight="1">
      <c r="H715" s="2"/>
      <c r="M715" s="3"/>
      <c r="N715" s="3"/>
      <c r="Q715" s="3"/>
    </row>
    <row r="716" spans="8:17" ht="14.25" customHeight="1">
      <c r="H716" s="2"/>
      <c r="M716" s="3"/>
      <c r="N716" s="3"/>
      <c r="Q716" s="3"/>
    </row>
    <row r="717" spans="8:17" ht="14.25" customHeight="1">
      <c r="H717" s="2"/>
      <c r="M717" s="3"/>
      <c r="N717" s="3"/>
      <c r="Q717" s="3"/>
    </row>
    <row r="718" spans="8:17" ht="14.25" customHeight="1">
      <c r="H718" s="2"/>
      <c r="M718" s="3"/>
      <c r="N718" s="3"/>
      <c r="Q718" s="3"/>
    </row>
    <row r="719" spans="8:17" ht="14.25" customHeight="1">
      <c r="H719" s="2"/>
      <c r="M719" s="3"/>
      <c r="N719" s="3"/>
      <c r="Q719" s="3"/>
    </row>
    <row r="720" spans="8:17" ht="14.25" customHeight="1">
      <c r="H720" s="2"/>
      <c r="M720" s="3"/>
      <c r="N720" s="3"/>
      <c r="Q720" s="3"/>
    </row>
    <row r="721" spans="8:17" ht="14.25" customHeight="1">
      <c r="H721" s="2"/>
      <c r="M721" s="3"/>
      <c r="N721" s="3"/>
      <c r="Q721" s="3"/>
    </row>
    <row r="722" spans="8:17" ht="14.25" customHeight="1">
      <c r="H722" s="2"/>
      <c r="M722" s="3"/>
      <c r="N722" s="3"/>
      <c r="Q722" s="3"/>
    </row>
    <row r="723" spans="8:17" ht="14.25" customHeight="1">
      <c r="H723" s="2"/>
      <c r="M723" s="3"/>
      <c r="N723" s="3"/>
      <c r="Q723" s="3"/>
    </row>
    <row r="724" spans="8:17" ht="14.25" customHeight="1">
      <c r="H724" s="2"/>
      <c r="M724" s="3"/>
      <c r="N724" s="3"/>
      <c r="Q724" s="3"/>
    </row>
    <row r="725" spans="8:17" ht="14.25" customHeight="1">
      <c r="H725" s="2"/>
      <c r="M725" s="3"/>
      <c r="N725" s="3"/>
      <c r="Q725" s="3"/>
    </row>
    <row r="726" spans="8:17" ht="14.25" customHeight="1">
      <c r="H726" s="2"/>
      <c r="M726" s="3"/>
      <c r="N726" s="3"/>
      <c r="Q726" s="3"/>
    </row>
    <row r="727" spans="8:17" ht="14.25" customHeight="1">
      <c r="H727" s="2"/>
      <c r="M727" s="3"/>
      <c r="N727" s="3"/>
      <c r="Q727" s="3"/>
    </row>
    <row r="728" spans="8:17" ht="14.25" customHeight="1">
      <c r="H728" s="2"/>
      <c r="M728" s="3"/>
      <c r="N728" s="3"/>
      <c r="Q728" s="3"/>
    </row>
    <row r="729" spans="8:17" ht="14.25" customHeight="1">
      <c r="H729" s="2"/>
      <c r="M729" s="3"/>
      <c r="N729" s="3"/>
      <c r="Q729" s="3"/>
    </row>
    <row r="730" spans="8:17" ht="14.25" customHeight="1">
      <c r="H730" s="2"/>
      <c r="M730" s="3"/>
      <c r="N730" s="3"/>
      <c r="Q730" s="3"/>
    </row>
    <row r="731" spans="8:17" ht="14.25" customHeight="1">
      <c r="H731" s="2"/>
      <c r="M731" s="3"/>
      <c r="N731" s="3"/>
      <c r="Q731" s="3"/>
    </row>
    <row r="732" spans="8:17" ht="14.25" customHeight="1">
      <c r="H732" s="2"/>
      <c r="M732" s="3"/>
      <c r="N732" s="3"/>
      <c r="Q732" s="3"/>
    </row>
    <row r="733" spans="8:17" ht="14.25" customHeight="1">
      <c r="H733" s="2"/>
      <c r="M733" s="3"/>
      <c r="N733" s="3"/>
      <c r="Q733" s="3"/>
    </row>
    <row r="734" spans="8:17" ht="14.25" customHeight="1">
      <c r="H734" s="2"/>
      <c r="M734" s="3"/>
      <c r="N734" s="3"/>
      <c r="Q734" s="3"/>
    </row>
    <row r="735" spans="8:17" ht="14.25" customHeight="1">
      <c r="H735" s="2"/>
      <c r="M735" s="3"/>
      <c r="N735" s="3"/>
      <c r="Q735" s="3"/>
    </row>
    <row r="736" spans="8:17" ht="14.25" customHeight="1">
      <c r="H736" s="2"/>
      <c r="M736" s="3"/>
      <c r="N736" s="3"/>
      <c r="Q736" s="3"/>
    </row>
    <row r="737" spans="8:17" ht="14.25" customHeight="1">
      <c r="H737" s="2"/>
      <c r="M737" s="3"/>
      <c r="N737" s="3"/>
      <c r="Q737" s="3"/>
    </row>
    <row r="738" spans="8:17" ht="14.25" customHeight="1">
      <c r="H738" s="2"/>
      <c r="M738" s="3"/>
      <c r="N738" s="3"/>
      <c r="Q738" s="3"/>
    </row>
    <row r="739" spans="8:17" ht="14.25" customHeight="1">
      <c r="H739" s="2"/>
      <c r="M739" s="3"/>
      <c r="N739" s="3"/>
      <c r="Q739" s="3"/>
    </row>
    <row r="740" spans="8:17" ht="14.25" customHeight="1">
      <c r="H740" s="2"/>
      <c r="M740" s="3"/>
      <c r="N740" s="3"/>
      <c r="Q740" s="3"/>
    </row>
    <row r="741" spans="8:17" ht="14.25" customHeight="1">
      <c r="H741" s="2"/>
      <c r="M741" s="3"/>
      <c r="N741" s="3"/>
      <c r="Q741" s="3"/>
    </row>
    <row r="742" spans="8:17" ht="14.25" customHeight="1">
      <c r="H742" s="2"/>
      <c r="M742" s="3"/>
      <c r="N742" s="3"/>
      <c r="Q742" s="3"/>
    </row>
    <row r="743" spans="8:17" ht="14.25" customHeight="1">
      <c r="H743" s="2"/>
      <c r="M743" s="3"/>
      <c r="N743" s="3"/>
      <c r="Q743" s="3"/>
    </row>
    <row r="744" spans="8:17" ht="14.25" customHeight="1">
      <c r="H744" s="2"/>
      <c r="M744" s="3"/>
      <c r="N744" s="3"/>
      <c r="Q744" s="3"/>
    </row>
    <row r="745" spans="8:17" ht="14.25" customHeight="1">
      <c r="H745" s="2"/>
      <c r="M745" s="3"/>
      <c r="N745" s="3"/>
      <c r="Q745" s="3"/>
    </row>
    <row r="746" spans="8:17" ht="14.25" customHeight="1">
      <c r="H746" s="2"/>
      <c r="M746" s="3"/>
      <c r="N746" s="3"/>
      <c r="Q746" s="3"/>
    </row>
    <row r="747" spans="8:17" ht="14.25" customHeight="1">
      <c r="H747" s="2"/>
      <c r="M747" s="3"/>
      <c r="N747" s="3"/>
      <c r="Q747" s="3"/>
    </row>
    <row r="748" spans="8:17" ht="14.25" customHeight="1">
      <c r="H748" s="2"/>
      <c r="M748" s="3"/>
      <c r="N748" s="3"/>
      <c r="Q748" s="3"/>
    </row>
    <row r="749" spans="8:17" ht="14.25" customHeight="1">
      <c r="H749" s="2"/>
      <c r="M749" s="3"/>
      <c r="N749" s="3"/>
      <c r="Q749" s="3"/>
    </row>
    <row r="750" spans="8:17" ht="14.25" customHeight="1">
      <c r="H750" s="2"/>
      <c r="M750" s="3"/>
      <c r="N750" s="3"/>
      <c r="Q750" s="3"/>
    </row>
    <row r="751" spans="8:17" ht="14.25" customHeight="1">
      <c r="H751" s="2"/>
      <c r="M751" s="3"/>
      <c r="N751" s="3"/>
      <c r="Q751" s="3"/>
    </row>
    <row r="752" spans="8:17" ht="14.25" customHeight="1">
      <c r="H752" s="2"/>
      <c r="M752" s="3"/>
      <c r="N752" s="3"/>
      <c r="Q752" s="3"/>
    </row>
    <row r="753" spans="8:17" ht="14.25" customHeight="1">
      <c r="H753" s="2"/>
      <c r="M753" s="3"/>
      <c r="N753" s="3"/>
      <c r="Q753" s="3"/>
    </row>
    <row r="754" spans="8:17" ht="14.25" customHeight="1">
      <c r="H754" s="2"/>
      <c r="M754" s="3"/>
      <c r="N754" s="3"/>
      <c r="Q754" s="3"/>
    </row>
    <row r="755" spans="8:17" ht="14.25" customHeight="1">
      <c r="H755" s="2"/>
      <c r="M755" s="3"/>
      <c r="N755" s="3"/>
      <c r="Q755" s="3"/>
    </row>
    <row r="756" spans="8:17" ht="14.25" customHeight="1">
      <c r="H756" s="2"/>
      <c r="M756" s="3"/>
      <c r="N756" s="3"/>
      <c r="Q756" s="3"/>
    </row>
    <row r="757" spans="8:17" ht="14.25" customHeight="1">
      <c r="H757" s="2"/>
      <c r="M757" s="3"/>
      <c r="N757" s="3"/>
      <c r="Q757" s="3"/>
    </row>
    <row r="758" spans="8:17" ht="14.25" customHeight="1">
      <c r="H758" s="2"/>
      <c r="M758" s="3"/>
      <c r="N758" s="3"/>
      <c r="Q758" s="3"/>
    </row>
    <row r="759" spans="8:17" ht="14.25" customHeight="1">
      <c r="H759" s="2"/>
      <c r="M759" s="3"/>
      <c r="N759" s="3"/>
      <c r="Q759" s="3"/>
    </row>
    <row r="760" spans="8:17" ht="14.25" customHeight="1">
      <c r="H760" s="2"/>
      <c r="M760" s="3"/>
      <c r="N760" s="3"/>
      <c r="Q760" s="3"/>
    </row>
    <row r="761" spans="8:17" ht="14.25" customHeight="1">
      <c r="H761" s="2"/>
      <c r="M761" s="3"/>
      <c r="N761" s="3"/>
      <c r="Q761" s="3"/>
    </row>
    <row r="762" spans="8:17" ht="14.25" customHeight="1">
      <c r="H762" s="2"/>
      <c r="M762" s="3"/>
      <c r="N762" s="3"/>
      <c r="Q762" s="3"/>
    </row>
    <row r="763" spans="8:17" ht="14.25" customHeight="1">
      <c r="H763" s="2"/>
      <c r="M763" s="3"/>
      <c r="N763" s="3"/>
      <c r="Q763" s="3"/>
    </row>
    <row r="764" spans="8:17" ht="14.25" customHeight="1">
      <c r="H764" s="2"/>
      <c r="M764" s="3"/>
      <c r="N764" s="3"/>
      <c r="Q764" s="3"/>
    </row>
    <row r="765" spans="8:17" ht="14.25" customHeight="1">
      <c r="H765" s="2"/>
      <c r="M765" s="3"/>
      <c r="N765" s="3"/>
      <c r="Q765" s="3"/>
    </row>
    <row r="766" spans="8:17" ht="14.25" customHeight="1">
      <c r="H766" s="2"/>
      <c r="M766" s="3"/>
      <c r="N766" s="3"/>
      <c r="Q766" s="3"/>
    </row>
    <row r="767" spans="8:17" ht="14.25" customHeight="1">
      <c r="H767" s="2"/>
      <c r="M767" s="3"/>
      <c r="N767" s="3"/>
      <c r="Q767" s="3"/>
    </row>
    <row r="768" spans="8:17" ht="14.25" customHeight="1">
      <c r="H768" s="2"/>
      <c r="M768" s="3"/>
      <c r="N768" s="3"/>
      <c r="Q768" s="3"/>
    </row>
    <row r="769" spans="8:17" ht="14.25" customHeight="1">
      <c r="H769" s="2"/>
      <c r="M769" s="3"/>
      <c r="N769" s="3"/>
      <c r="Q769" s="3"/>
    </row>
    <row r="770" spans="8:17" ht="14.25" customHeight="1">
      <c r="H770" s="2"/>
      <c r="M770" s="3"/>
      <c r="N770" s="3"/>
      <c r="Q770" s="3"/>
    </row>
    <row r="771" spans="8:17" ht="14.25" customHeight="1">
      <c r="H771" s="2"/>
      <c r="M771" s="3"/>
      <c r="N771" s="3"/>
      <c r="Q771" s="3"/>
    </row>
    <row r="772" spans="8:17" ht="14.25" customHeight="1">
      <c r="H772" s="2"/>
      <c r="M772" s="3"/>
      <c r="N772" s="3"/>
      <c r="Q772" s="3"/>
    </row>
    <row r="773" spans="8:17" ht="14.25" customHeight="1">
      <c r="H773" s="2"/>
      <c r="M773" s="3"/>
      <c r="N773" s="3"/>
      <c r="Q773" s="3"/>
    </row>
    <row r="774" spans="8:17" ht="14.25" customHeight="1">
      <c r="H774" s="2"/>
      <c r="M774" s="3"/>
      <c r="N774" s="3"/>
      <c r="Q774" s="3"/>
    </row>
    <row r="775" spans="8:17" ht="14.25" customHeight="1">
      <c r="H775" s="2"/>
      <c r="M775" s="3"/>
      <c r="N775" s="3"/>
      <c r="Q775" s="3"/>
    </row>
    <row r="776" spans="8:17" ht="14.25" customHeight="1">
      <c r="H776" s="2"/>
      <c r="M776" s="3"/>
      <c r="N776" s="3"/>
      <c r="Q776" s="3"/>
    </row>
    <row r="777" spans="8:17" ht="14.25" customHeight="1">
      <c r="H777" s="2"/>
      <c r="M777" s="3"/>
      <c r="N777" s="3"/>
      <c r="Q777" s="3"/>
    </row>
    <row r="778" spans="8:17" ht="14.25" customHeight="1">
      <c r="H778" s="2"/>
      <c r="M778" s="3"/>
      <c r="N778" s="3"/>
      <c r="Q778" s="3"/>
    </row>
    <row r="779" spans="8:17" ht="14.25" customHeight="1">
      <c r="H779" s="2"/>
      <c r="M779" s="3"/>
      <c r="N779" s="3"/>
      <c r="Q779" s="3"/>
    </row>
    <row r="780" spans="8:17" ht="14.25" customHeight="1">
      <c r="H780" s="2"/>
      <c r="M780" s="3"/>
      <c r="N780" s="3"/>
      <c r="Q780" s="3"/>
    </row>
    <row r="781" spans="8:17" ht="14.25" customHeight="1">
      <c r="H781" s="2"/>
      <c r="M781" s="3"/>
      <c r="N781" s="3"/>
      <c r="Q781" s="3"/>
    </row>
    <row r="782" spans="8:17" ht="14.25" customHeight="1">
      <c r="H782" s="2"/>
      <c r="M782" s="3"/>
      <c r="N782" s="3"/>
      <c r="Q782" s="3"/>
    </row>
    <row r="783" spans="8:17" ht="14.25" customHeight="1">
      <c r="H783" s="2"/>
      <c r="M783" s="3"/>
      <c r="N783" s="3"/>
      <c r="Q783" s="3"/>
    </row>
    <row r="784" spans="8:17" ht="14.25" customHeight="1">
      <c r="H784" s="2"/>
      <c r="M784" s="3"/>
      <c r="N784" s="3"/>
      <c r="Q784" s="3"/>
    </row>
    <row r="785" spans="8:17" ht="14.25" customHeight="1">
      <c r="H785" s="2"/>
      <c r="M785" s="3"/>
      <c r="N785" s="3"/>
      <c r="Q785" s="3"/>
    </row>
    <row r="786" spans="8:17" ht="14.25" customHeight="1">
      <c r="H786" s="2"/>
      <c r="M786" s="3"/>
      <c r="N786" s="3"/>
      <c r="Q786" s="3"/>
    </row>
    <row r="787" spans="8:17" ht="14.25" customHeight="1">
      <c r="H787" s="2"/>
      <c r="M787" s="3"/>
      <c r="N787" s="3"/>
      <c r="Q787" s="3"/>
    </row>
    <row r="788" spans="8:17" ht="14.25" customHeight="1">
      <c r="H788" s="2"/>
      <c r="M788" s="3"/>
      <c r="N788" s="3"/>
      <c r="Q788" s="3"/>
    </row>
    <row r="789" spans="8:17" ht="14.25" customHeight="1">
      <c r="H789" s="2"/>
      <c r="M789" s="3"/>
      <c r="N789" s="3"/>
      <c r="Q789" s="3"/>
    </row>
    <row r="790" spans="8:17" ht="14.25" customHeight="1">
      <c r="H790" s="2"/>
      <c r="M790" s="3"/>
      <c r="N790" s="3"/>
      <c r="Q790" s="3"/>
    </row>
    <row r="791" spans="8:17" ht="14.25" customHeight="1">
      <c r="H791" s="2"/>
      <c r="M791" s="3"/>
      <c r="N791" s="3"/>
      <c r="Q791" s="3"/>
    </row>
    <row r="792" spans="8:17" ht="14.25" customHeight="1">
      <c r="H792" s="2"/>
      <c r="M792" s="3"/>
      <c r="N792" s="3"/>
      <c r="Q792" s="3"/>
    </row>
    <row r="793" spans="8:17" ht="14.25" customHeight="1">
      <c r="H793" s="2"/>
      <c r="M793" s="3"/>
      <c r="N793" s="3"/>
      <c r="Q793" s="3"/>
    </row>
    <row r="794" spans="8:17" ht="14.25" customHeight="1">
      <c r="H794" s="2"/>
      <c r="M794" s="3"/>
      <c r="N794" s="3"/>
      <c r="Q794" s="3"/>
    </row>
    <row r="795" spans="8:17" ht="14.25" customHeight="1">
      <c r="H795" s="2"/>
      <c r="M795" s="3"/>
      <c r="N795" s="3"/>
      <c r="Q795" s="3"/>
    </row>
    <row r="796" spans="8:17" ht="14.25" customHeight="1">
      <c r="H796" s="2"/>
      <c r="M796" s="3"/>
      <c r="N796" s="3"/>
      <c r="Q796" s="3"/>
    </row>
    <row r="797" spans="8:17" ht="14.25" customHeight="1">
      <c r="H797" s="2"/>
      <c r="M797" s="3"/>
      <c r="N797" s="3"/>
      <c r="Q797" s="3"/>
    </row>
    <row r="798" spans="8:17" ht="14.25" customHeight="1">
      <c r="H798" s="2"/>
      <c r="M798" s="3"/>
      <c r="N798" s="3"/>
      <c r="Q798" s="3"/>
    </row>
    <row r="799" spans="8:17" ht="14.25" customHeight="1">
      <c r="H799" s="2"/>
      <c r="M799" s="3"/>
      <c r="N799" s="3"/>
      <c r="Q799" s="3"/>
    </row>
    <row r="800" spans="8:17" ht="14.25" customHeight="1">
      <c r="H800" s="2"/>
      <c r="M800" s="3"/>
      <c r="N800" s="3"/>
      <c r="Q800" s="3"/>
    </row>
    <row r="801" spans="8:17" ht="14.25" customHeight="1">
      <c r="H801" s="2"/>
      <c r="M801" s="3"/>
      <c r="N801" s="3"/>
      <c r="Q801" s="3"/>
    </row>
    <row r="802" spans="8:17" ht="14.25" customHeight="1">
      <c r="H802" s="2"/>
      <c r="M802" s="3"/>
      <c r="N802" s="3"/>
      <c r="Q802" s="3"/>
    </row>
    <row r="803" spans="8:17" ht="14.25" customHeight="1">
      <c r="H803" s="2"/>
      <c r="M803" s="3"/>
      <c r="N803" s="3"/>
      <c r="Q803" s="3"/>
    </row>
    <row r="804" spans="8:17" ht="14.25" customHeight="1">
      <c r="H804" s="2"/>
      <c r="M804" s="3"/>
      <c r="N804" s="3"/>
      <c r="Q804" s="3"/>
    </row>
    <row r="805" spans="8:17" ht="14.25" customHeight="1">
      <c r="H805" s="2"/>
      <c r="M805" s="3"/>
      <c r="N805" s="3"/>
      <c r="Q805" s="3"/>
    </row>
    <row r="806" spans="8:17" ht="14.25" customHeight="1">
      <c r="H806" s="2"/>
      <c r="M806" s="3"/>
      <c r="N806" s="3"/>
      <c r="Q806" s="3"/>
    </row>
    <row r="807" spans="8:17" ht="14.25" customHeight="1">
      <c r="H807" s="2"/>
      <c r="M807" s="3"/>
      <c r="N807" s="3"/>
      <c r="Q807" s="3"/>
    </row>
    <row r="808" spans="8:17" ht="14.25" customHeight="1">
      <c r="H808" s="2"/>
      <c r="M808" s="3"/>
      <c r="N808" s="3"/>
      <c r="Q808" s="3"/>
    </row>
    <row r="809" spans="8:17" ht="14.25" customHeight="1">
      <c r="H809" s="2"/>
      <c r="M809" s="3"/>
      <c r="N809" s="3"/>
      <c r="Q809" s="3"/>
    </row>
    <row r="810" spans="8:17" ht="14.25" customHeight="1">
      <c r="H810" s="2"/>
      <c r="M810" s="3"/>
      <c r="N810" s="3"/>
      <c r="Q810" s="3"/>
    </row>
    <row r="811" spans="8:17" ht="14.25" customHeight="1">
      <c r="H811" s="2"/>
      <c r="M811" s="3"/>
      <c r="N811" s="3"/>
      <c r="Q811" s="3"/>
    </row>
    <row r="812" spans="8:17" ht="14.25" customHeight="1">
      <c r="H812" s="2"/>
      <c r="M812" s="3"/>
      <c r="N812" s="3"/>
      <c r="Q812" s="3"/>
    </row>
    <row r="813" spans="8:17" ht="14.25" customHeight="1">
      <c r="H813" s="2"/>
      <c r="M813" s="3"/>
      <c r="N813" s="3"/>
      <c r="Q813" s="3"/>
    </row>
    <row r="814" spans="8:17" ht="14.25" customHeight="1">
      <c r="H814" s="2"/>
      <c r="M814" s="3"/>
      <c r="N814" s="3"/>
      <c r="Q814" s="3"/>
    </row>
    <row r="815" spans="8:17" ht="14.25" customHeight="1">
      <c r="H815" s="2"/>
      <c r="M815" s="3"/>
      <c r="N815" s="3"/>
      <c r="Q815" s="3"/>
    </row>
    <row r="816" spans="8:17" ht="14.25" customHeight="1">
      <c r="H816" s="2"/>
      <c r="M816" s="3"/>
      <c r="N816" s="3"/>
      <c r="Q816" s="3"/>
    </row>
    <row r="817" spans="8:17" ht="14.25" customHeight="1">
      <c r="H817" s="2"/>
      <c r="M817" s="3"/>
      <c r="N817" s="3"/>
      <c r="Q817" s="3"/>
    </row>
    <row r="818" spans="8:17" ht="14.25" customHeight="1">
      <c r="H818" s="2"/>
      <c r="M818" s="3"/>
      <c r="N818" s="3"/>
      <c r="Q818" s="3"/>
    </row>
    <row r="819" spans="8:17" ht="14.25" customHeight="1">
      <c r="H819" s="2"/>
      <c r="M819" s="3"/>
      <c r="N819" s="3"/>
      <c r="Q819" s="3"/>
    </row>
    <row r="820" spans="8:17" ht="14.25" customHeight="1">
      <c r="H820" s="2"/>
      <c r="M820" s="3"/>
      <c r="N820" s="3"/>
      <c r="Q820" s="3"/>
    </row>
    <row r="821" spans="8:17" ht="14.25" customHeight="1">
      <c r="H821" s="2"/>
      <c r="M821" s="3"/>
      <c r="N821" s="3"/>
      <c r="Q821" s="3"/>
    </row>
    <row r="822" spans="8:17" ht="14.25" customHeight="1">
      <c r="H822" s="2"/>
      <c r="M822" s="3"/>
      <c r="N822" s="3"/>
      <c r="Q822" s="3"/>
    </row>
    <row r="823" spans="8:17" ht="14.25" customHeight="1">
      <c r="H823" s="2"/>
      <c r="M823" s="3"/>
      <c r="N823" s="3"/>
      <c r="Q823" s="3"/>
    </row>
    <row r="824" spans="8:17" ht="14.25" customHeight="1">
      <c r="H824" s="2"/>
      <c r="M824" s="3"/>
      <c r="N824" s="3"/>
      <c r="Q824" s="3"/>
    </row>
    <row r="825" spans="8:17" ht="14.25" customHeight="1">
      <c r="H825" s="2"/>
      <c r="M825" s="3"/>
      <c r="N825" s="3"/>
      <c r="Q825" s="3"/>
    </row>
    <row r="826" spans="8:17" ht="14.25" customHeight="1">
      <c r="H826" s="2"/>
      <c r="M826" s="3"/>
      <c r="N826" s="3"/>
      <c r="Q826" s="3"/>
    </row>
    <row r="827" spans="8:17" ht="14.25" customHeight="1">
      <c r="H827" s="2"/>
      <c r="M827" s="3"/>
      <c r="N827" s="3"/>
      <c r="Q827" s="3"/>
    </row>
    <row r="828" spans="8:17" ht="14.25" customHeight="1">
      <c r="H828" s="2"/>
      <c r="M828" s="3"/>
      <c r="N828" s="3"/>
      <c r="Q828" s="3"/>
    </row>
    <row r="829" spans="8:17" ht="14.25" customHeight="1">
      <c r="H829" s="2"/>
      <c r="M829" s="3"/>
      <c r="N829" s="3"/>
      <c r="Q829" s="3"/>
    </row>
    <row r="830" spans="8:17" ht="14.25" customHeight="1">
      <c r="H830" s="2"/>
      <c r="M830" s="3"/>
      <c r="N830" s="3"/>
      <c r="Q830" s="3"/>
    </row>
    <row r="831" spans="8:17" ht="14.25" customHeight="1">
      <c r="H831" s="2"/>
      <c r="M831" s="3"/>
      <c r="N831" s="3"/>
      <c r="Q831" s="3"/>
    </row>
    <row r="832" spans="8:17" ht="14.25" customHeight="1">
      <c r="H832" s="2"/>
      <c r="M832" s="3"/>
      <c r="N832" s="3"/>
      <c r="Q832" s="3"/>
    </row>
    <row r="833" spans="8:17" ht="14.25" customHeight="1">
      <c r="H833" s="2"/>
      <c r="M833" s="3"/>
      <c r="N833" s="3"/>
      <c r="Q833" s="3"/>
    </row>
    <row r="834" spans="8:17" ht="14.25" customHeight="1">
      <c r="H834" s="2"/>
      <c r="M834" s="3"/>
      <c r="N834" s="3"/>
      <c r="Q834" s="3"/>
    </row>
    <row r="835" spans="8:17" ht="14.25" customHeight="1">
      <c r="H835" s="2"/>
      <c r="M835" s="3"/>
      <c r="N835" s="3"/>
      <c r="Q835" s="3"/>
    </row>
    <row r="836" spans="8:17" ht="14.25" customHeight="1">
      <c r="H836" s="2"/>
      <c r="M836" s="3"/>
      <c r="N836" s="3"/>
      <c r="Q836" s="3"/>
    </row>
    <row r="837" spans="8:17" ht="14.25" customHeight="1">
      <c r="H837" s="2"/>
      <c r="M837" s="3"/>
      <c r="N837" s="3"/>
      <c r="Q837" s="3"/>
    </row>
    <row r="838" spans="8:17" ht="14.25" customHeight="1">
      <c r="H838" s="2"/>
      <c r="M838" s="3"/>
      <c r="N838" s="3"/>
      <c r="Q838" s="3"/>
    </row>
    <row r="839" spans="8:17" ht="14.25" customHeight="1">
      <c r="H839" s="2"/>
      <c r="M839" s="3"/>
      <c r="N839" s="3"/>
      <c r="Q839" s="3"/>
    </row>
    <row r="840" spans="8:17" ht="14.25" customHeight="1">
      <c r="H840" s="2"/>
      <c r="M840" s="3"/>
      <c r="N840" s="3"/>
      <c r="Q840" s="3"/>
    </row>
    <row r="841" spans="8:17" ht="14.25" customHeight="1">
      <c r="H841" s="2"/>
      <c r="M841" s="3"/>
      <c r="N841" s="3"/>
      <c r="Q841" s="3"/>
    </row>
    <row r="842" spans="8:17" ht="14.25" customHeight="1">
      <c r="H842" s="2"/>
      <c r="M842" s="3"/>
      <c r="N842" s="3"/>
      <c r="Q842" s="3"/>
    </row>
    <row r="843" spans="8:17" ht="14.25" customHeight="1">
      <c r="H843" s="2"/>
      <c r="M843" s="3"/>
      <c r="N843" s="3"/>
      <c r="Q843" s="3"/>
    </row>
    <row r="844" spans="8:17" ht="14.25" customHeight="1">
      <c r="H844" s="2"/>
      <c r="M844" s="3"/>
      <c r="N844" s="3"/>
      <c r="Q844" s="3"/>
    </row>
    <row r="845" spans="8:17" ht="14.25" customHeight="1">
      <c r="H845" s="2"/>
      <c r="M845" s="3"/>
      <c r="N845" s="3"/>
      <c r="Q845" s="3"/>
    </row>
    <row r="846" spans="8:17" ht="14.25" customHeight="1">
      <c r="H846" s="2"/>
      <c r="M846" s="3"/>
      <c r="N846" s="3"/>
      <c r="Q846" s="3"/>
    </row>
    <row r="847" spans="8:17" ht="14.25" customHeight="1">
      <c r="H847" s="2"/>
      <c r="M847" s="3"/>
      <c r="N847" s="3"/>
      <c r="Q847" s="3"/>
    </row>
    <row r="848" spans="8:17" ht="14.25" customHeight="1">
      <c r="H848" s="2"/>
      <c r="M848" s="3"/>
      <c r="N848" s="3"/>
      <c r="Q848" s="3"/>
    </row>
    <row r="849" spans="8:17" ht="14.25" customHeight="1">
      <c r="H849" s="2"/>
      <c r="M849" s="3"/>
      <c r="N849" s="3"/>
      <c r="Q849" s="3"/>
    </row>
    <row r="850" spans="8:17" ht="14.25" customHeight="1">
      <c r="H850" s="2"/>
      <c r="M850" s="3"/>
      <c r="N850" s="3"/>
      <c r="Q850" s="3"/>
    </row>
    <row r="851" spans="8:17" ht="14.25" customHeight="1">
      <c r="H851" s="2"/>
      <c r="M851" s="3"/>
      <c r="N851" s="3"/>
      <c r="Q851" s="3"/>
    </row>
    <row r="852" spans="8:17" ht="14.25" customHeight="1">
      <c r="H852" s="2"/>
      <c r="M852" s="3"/>
      <c r="N852" s="3"/>
      <c r="Q852" s="3"/>
    </row>
    <row r="853" spans="8:17" ht="14.25" customHeight="1">
      <c r="H853" s="2"/>
      <c r="M853" s="3"/>
      <c r="N853" s="3"/>
      <c r="Q853" s="3"/>
    </row>
    <row r="854" spans="8:17" ht="14.25" customHeight="1">
      <c r="H854" s="2"/>
      <c r="M854" s="3"/>
      <c r="N854" s="3"/>
      <c r="Q854" s="3"/>
    </row>
    <row r="855" spans="8:17" ht="14.25" customHeight="1">
      <c r="H855" s="2"/>
      <c r="M855" s="3"/>
      <c r="N855" s="3"/>
      <c r="Q855" s="3"/>
    </row>
    <row r="856" spans="8:17" ht="14.25" customHeight="1">
      <c r="H856" s="2"/>
      <c r="M856" s="3"/>
      <c r="N856" s="3"/>
      <c r="Q856" s="3"/>
    </row>
    <row r="857" spans="8:17" ht="14.25" customHeight="1">
      <c r="H857" s="2"/>
      <c r="M857" s="3"/>
      <c r="N857" s="3"/>
      <c r="Q857" s="3"/>
    </row>
    <row r="858" spans="8:17" ht="14.25" customHeight="1">
      <c r="H858" s="2"/>
      <c r="M858" s="3"/>
      <c r="N858" s="3"/>
      <c r="Q858" s="3"/>
    </row>
    <row r="859" spans="8:17" ht="14.25" customHeight="1">
      <c r="H859" s="2"/>
      <c r="M859" s="3"/>
      <c r="N859" s="3"/>
      <c r="Q859" s="3"/>
    </row>
    <row r="860" spans="8:17" ht="14.25" customHeight="1">
      <c r="H860" s="2"/>
      <c r="M860" s="3"/>
      <c r="N860" s="3"/>
      <c r="Q860" s="3"/>
    </row>
    <row r="861" spans="8:17" ht="14.25" customHeight="1">
      <c r="H861" s="2"/>
      <c r="M861" s="3"/>
      <c r="N861" s="3"/>
      <c r="Q861" s="3"/>
    </row>
    <row r="862" spans="8:17" ht="14.25" customHeight="1">
      <c r="H862" s="2"/>
      <c r="M862" s="3"/>
      <c r="N862" s="3"/>
      <c r="Q862" s="3"/>
    </row>
    <row r="863" spans="8:17" ht="14.25" customHeight="1">
      <c r="H863" s="2"/>
      <c r="M863" s="3"/>
      <c r="N863" s="3"/>
      <c r="Q863" s="3"/>
    </row>
    <row r="864" spans="8:17" ht="14.25" customHeight="1">
      <c r="H864" s="2"/>
      <c r="M864" s="3"/>
      <c r="N864" s="3"/>
      <c r="Q864" s="3"/>
    </row>
    <row r="865" spans="8:17" ht="14.25" customHeight="1">
      <c r="H865" s="2"/>
      <c r="M865" s="3"/>
      <c r="N865" s="3"/>
      <c r="Q865" s="3"/>
    </row>
    <row r="866" spans="8:17" ht="14.25" customHeight="1">
      <c r="H866" s="2"/>
      <c r="M866" s="3"/>
      <c r="N866" s="3"/>
      <c r="Q866" s="3"/>
    </row>
    <row r="867" spans="8:17" ht="14.25" customHeight="1">
      <c r="H867" s="2"/>
      <c r="M867" s="3"/>
      <c r="N867" s="3"/>
      <c r="Q867" s="3"/>
    </row>
    <row r="868" spans="8:17" ht="14.25" customHeight="1">
      <c r="H868" s="2"/>
      <c r="M868" s="3"/>
      <c r="N868" s="3"/>
      <c r="Q868" s="3"/>
    </row>
    <row r="869" spans="8:17" ht="14.25" customHeight="1">
      <c r="H869" s="2"/>
      <c r="M869" s="3"/>
      <c r="N869" s="3"/>
      <c r="Q869" s="3"/>
    </row>
    <row r="870" spans="8:17" ht="14.25" customHeight="1">
      <c r="H870" s="2"/>
      <c r="M870" s="3"/>
      <c r="N870" s="3"/>
      <c r="Q870" s="3"/>
    </row>
    <row r="871" spans="8:17" ht="14.25" customHeight="1">
      <c r="H871" s="2"/>
      <c r="M871" s="3"/>
      <c r="N871" s="3"/>
      <c r="Q871" s="3"/>
    </row>
    <row r="872" spans="8:17" ht="14.25" customHeight="1">
      <c r="H872" s="2"/>
      <c r="M872" s="3"/>
      <c r="N872" s="3"/>
      <c r="Q872" s="3"/>
    </row>
    <row r="873" spans="8:17" ht="14.25" customHeight="1">
      <c r="H873" s="2"/>
      <c r="M873" s="3"/>
      <c r="N873" s="3"/>
      <c r="Q873" s="3"/>
    </row>
    <row r="874" spans="8:17" ht="14.25" customHeight="1">
      <c r="H874" s="2"/>
      <c r="M874" s="3"/>
      <c r="N874" s="3"/>
      <c r="Q874" s="3"/>
    </row>
    <row r="875" spans="8:17" ht="14.25" customHeight="1">
      <c r="H875" s="2"/>
      <c r="M875" s="3"/>
      <c r="N875" s="3"/>
      <c r="Q875" s="3"/>
    </row>
    <row r="876" spans="8:17" ht="14.25" customHeight="1">
      <c r="H876" s="2"/>
      <c r="M876" s="3"/>
      <c r="N876" s="3"/>
      <c r="Q876" s="3"/>
    </row>
    <row r="877" spans="8:17" ht="14.25" customHeight="1">
      <c r="H877" s="2"/>
      <c r="M877" s="3"/>
      <c r="N877" s="3"/>
      <c r="Q877" s="3"/>
    </row>
    <row r="878" spans="8:17" ht="14.25" customHeight="1">
      <c r="H878" s="2"/>
      <c r="M878" s="3"/>
      <c r="N878" s="3"/>
      <c r="Q878" s="3"/>
    </row>
    <row r="879" spans="8:17" ht="14.25" customHeight="1">
      <c r="H879" s="2"/>
      <c r="M879" s="3"/>
      <c r="N879" s="3"/>
      <c r="Q879" s="3"/>
    </row>
    <row r="880" spans="8:17" ht="14.25" customHeight="1">
      <c r="H880" s="2"/>
      <c r="M880" s="3"/>
      <c r="N880" s="3"/>
      <c r="Q880" s="3"/>
    </row>
    <row r="881" spans="8:17" ht="14.25" customHeight="1">
      <c r="H881" s="2"/>
      <c r="M881" s="3"/>
      <c r="N881" s="3"/>
      <c r="Q881" s="3"/>
    </row>
    <row r="882" spans="8:17" ht="14.25" customHeight="1">
      <c r="H882" s="2"/>
      <c r="M882" s="3"/>
      <c r="N882" s="3"/>
      <c r="Q882" s="3"/>
    </row>
    <row r="883" spans="8:17" ht="14.25" customHeight="1">
      <c r="H883" s="2"/>
      <c r="M883" s="3"/>
      <c r="N883" s="3"/>
      <c r="Q883" s="3"/>
    </row>
    <row r="884" spans="8:17" ht="14.25" customHeight="1">
      <c r="H884" s="2"/>
      <c r="M884" s="3"/>
      <c r="N884" s="3"/>
      <c r="Q884" s="3"/>
    </row>
    <row r="885" spans="8:17" ht="14.25" customHeight="1">
      <c r="H885" s="2"/>
      <c r="M885" s="3"/>
      <c r="N885" s="3"/>
      <c r="Q885" s="3"/>
    </row>
    <row r="886" spans="8:17" ht="14.25" customHeight="1">
      <c r="H886" s="2"/>
      <c r="M886" s="3"/>
      <c r="N886" s="3"/>
      <c r="Q886" s="3"/>
    </row>
    <row r="887" spans="8:17" ht="14.25" customHeight="1">
      <c r="H887" s="2"/>
      <c r="M887" s="3"/>
      <c r="N887" s="3"/>
      <c r="Q887" s="3"/>
    </row>
    <row r="888" spans="8:17" ht="14.25" customHeight="1">
      <c r="H888" s="2"/>
      <c r="M888" s="3"/>
      <c r="N888" s="3"/>
      <c r="Q888" s="3"/>
    </row>
    <row r="889" spans="8:17" ht="14.25" customHeight="1">
      <c r="H889" s="2"/>
      <c r="M889" s="3"/>
      <c r="N889" s="3"/>
      <c r="Q889" s="3"/>
    </row>
    <row r="890" spans="8:17" ht="14.25" customHeight="1">
      <c r="H890" s="2"/>
      <c r="M890" s="3"/>
      <c r="N890" s="3"/>
      <c r="Q890" s="3"/>
    </row>
    <row r="891" spans="8:17" ht="14.25" customHeight="1">
      <c r="H891" s="2"/>
      <c r="M891" s="3"/>
      <c r="N891" s="3"/>
      <c r="Q891" s="3"/>
    </row>
    <row r="892" spans="8:17" ht="14.25" customHeight="1">
      <c r="H892" s="2"/>
      <c r="M892" s="3"/>
      <c r="N892" s="3"/>
      <c r="Q892" s="3"/>
    </row>
    <row r="893" spans="8:17" ht="14.25" customHeight="1">
      <c r="H893" s="2"/>
      <c r="M893" s="3"/>
      <c r="N893" s="3"/>
      <c r="Q893" s="3"/>
    </row>
    <row r="894" spans="8:17" ht="14.25" customHeight="1">
      <c r="H894" s="2"/>
      <c r="M894" s="3"/>
      <c r="N894" s="3"/>
      <c r="Q894" s="3"/>
    </row>
    <row r="895" spans="8:17" ht="14.25" customHeight="1">
      <c r="H895" s="2"/>
      <c r="M895" s="3"/>
      <c r="N895" s="3"/>
      <c r="Q895" s="3"/>
    </row>
    <row r="896" spans="8:17" ht="14.25" customHeight="1">
      <c r="H896" s="2"/>
      <c r="M896" s="3"/>
      <c r="N896" s="3"/>
      <c r="Q896" s="3"/>
    </row>
    <row r="897" spans="8:17" ht="14.25" customHeight="1">
      <c r="H897" s="2"/>
      <c r="M897" s="3"/>
      <c r="N897" s="3"/>
      <c r="Q897" s="3"/>
    </row>
    <row r="898" spans="8:17" ht="14.25" customHeight="1">
      <c r="H898" s="2"/>
      <c r="M898" s="3"/>
      <c r="N898" s="3"/>
      <c r="Q898" s="3"/>
    </row>
    <row r="899" spans="8:17" ht="14.25" customHeight="1">
      <c r="H899" s="2"/>
      <c r="M899" s="3"/>
      <c r="N899" s="3"/>
      <c r="Q899" s="3"/>
    </row>
    <row r="900" spans="8:17" ht="14.25" customHeight="1">
      <c r="H900" s="2"/>
      <c r="M900" s="3"/>
      <c r="N900" s="3"/>
      <c r="Q900" s="3"/>
    </row>
    <row r="901" spans="8:17" ht="14.25" customHeight="1">
      <c r="H901" s="2"/>
      <c r="M901" s="3"/>
      <c r="N901" s="3"/>
      <c r="Q901" s="3"/>
    </row>
    <row r="902" spans="8:17" ht="14.25" customHeight="1">
      <c r="H902" s="2"/>
      <c r="M902" s="3"/>
      <c r="N902" s="3"/>
      <c r="Q902" s="3"/>
    </row>
    <row r="903" spans="8:17" ht="14.25" customHeight="1">
      <c r="H903" s="2"/>
      <c r="M903" s="3"/>
      <c r="N903" s="3"/>
      <c r="Q903" s="3"/>
    </row>
    <row r="904" spans="8:17" ht="14.25" customHeight="1">
      <c r="H904" s="2"/>
      <c r="M904" s="3"/>
      <c r="N904" s="3"/>
      <c r="Q904" s="3"/>
    </row>
    <row r="905" spans="8:17" ht="14.25" customHeight="1">
      <c r="H905" s="2"/>
      <c r="M905" s="3"/>
      <c r="N905" s="3"/>
      <c r="Q905" s="3"/>
    </row>
    <row r="906" spans="8:17" ht="14.25" customHeight="1">
      <c r="H906" s="2"/>
      <c r="M906" s="3"/>
      <c r="N906" s="3"/>
      <c r="Q906" s="3"/>
    </row>
    <row r="907" spans="8:17" ht="14.25" customHeight="1">
      <c r="H907" s="2"/>
      <c r="M907" s="3"/>
      <c r="N907" s="3"/>
      <c r="Q907" s="3"/>
    </row>
    <row r="908" spans="8:17" ht="14.25" customHeight="1">
      <c r="H908" s="2"/>
      <c r="M908" s="3"/>
      <c r="N908" s="3"/>
      <c r="Q908" s="3"/>
    </row>
    <row r="909" spans="8:17" ht="14.25" customHeight="1">
      <c r="H909" s="2"/>
      <c r="M909" s="3"/>
      <c r="N909" s="3"/>
      <c r="Q909" s="3"/>
    </row>
    <row r="910" spans="8:17" ht="14.25" customHeight="1">
      <c r="H910" s="2"/>
      <c r="M910" s="3"/>
      <c r="N910" s="3"/>
      <c r="Q910" s="3"/>
    </row>
    <row r="911" spans="8:17" ht="14.25" customHeight="1">
      <c r="H911" s="2"/>
      <c r="M911" s="3"/>
      <c r="N911" s="3"/>
      <c r="Q911" s="3"/>
    </row>
    <row r="912" spans="8:17" ht="14.25" customHeight="1">
      <c r="H912" s="2"/>
      <c r="M912" s="3"/>
      <c r="N912" s="3"/>
      <c r="Q912" s="3"/>
    </row>
    <row r="913" spans="8:17" ht="14.25" customHeight="1">
      <c r="H913" s="2"/>
      <c r="M913" s="3"/>
      <c r="N913" s="3"/>
      <c r="Q913" s="3"/>
    </row>
    <row r="914" spans="8:17" ht="14.25" customHeight="1">
      <c r="H914" s="2"/>
      <c r="M914" s="3"/>
      <c r="N914" s="3"/>
      <c r="Q914" s="3"/>
    </row>
    <row r="915" spans="8:17" ht="14.25" customHeight="1">
      <c r="H915" s="2"/>
      <c r="M915" s="3"/>
      <c r="N915" s="3"/>
      <c r="Q915" s="3"/>
    </row>
    <row r="916" spans="8:17" ht="14.25" customHeight="1">
      <c r="H916" s="2"/>
      <c r="M916" s="3"/>
      <c r="N916" s="3"/>
      <c r="Q916" s="3"/>
    </row>
    <row r="917" spans="8:17" ht="14.25" customHeight="1">
      <c r="H917" s="2"/>
      <c r="M917" s="3"/>
      <c r="N917" s="3"/>
      <c r="Q917" s="3"/>
    </row>
    <row r="918" spans="8:17" ht="14.25" customHeight="1">
      <c r="H918" s="2"/>
      <c r="M918" s="3"/>
      <c r="N918" s="3"/>
      <c r="Q918" s="3"/>
    </row>
    <row r="919" spans="8:17" ht="14.25" customHeight="1">
      <c r="H919" s="2"/>
      <c r="M919" s="3"/>
      <c r="N919" s="3"/>
      <c r="Q919" s="3"/>
    </row>
    <row r="920" spans="8:17" ht="14.25" customHeight="1">
      <c r="H920" s="2"/>
      <c r="M920" s="3"/>
      <c r="N920" s="3"/>
      <c r="Q920" s="3"/>
    </row>
    <row r="921" spans="8:17" ht="14.25" customHeight="1">
      <c r="H921" s="2"/>
      <c r="M921" s="3"/>
      <c r="N921" s="3"/>
      <c r="Q921" s="3"/>
    </row>
    <row r="922" spans="8:17" ht="14.25" customHeight="1">
      <c r="H922" s="2"/>
      <c r="M922" s="3"/>
      <c r="N922" s="3"/>
      <c r="Q922" s="3"/>
    </row>
    <row r="923" spans="8:17" ht="14.25" customHeight="1">
      <c r="H923" s="2"/>
      <c r="M923" s="3"/>
      <c r="N923" s="3"/>
      <c r="Q923" s="3"/>
    </row>
    <row r="924" spans="8:17" ht="14.25" customHeight="1">
      <c r="H924" s="2"/>
      <c r="M924" s="3"/>
      <c r="N924" s="3"/>
      <c r="Q924" s="3"/>
    </row>
    <row r="925" spans="8:17" ht="14.25" customHeight="1">
      <c r="H925" s="2"/>
      <c r="M925" s="3"/>
      <c r="N925" s="3"/>
      <c r="Q925" s="3"/>
    </row>
    <row r="926" spans="8:17" ht="14.25" customHeight="1">
      <c r="H926" s="2"/>
      <c r="M926" s="3"/>
      <c r="N926" s="3"/>
      <c r="Q926" s="3"/>
    </row>
    <row r="927" spans="8:17" ht="14.25" customHeight="1">
      <c r="H927" s="2"/>
      <c r="M927" s="3"/>
      <c r="N927" s="3"/>
      <c r="Q927" s="3"/>
    </row>
    <row r="928" spans="8:17" ht="14.25" customHeight="1">
      <c r="H928" s="2"/>
      <c r="M928" s="3"/>
      <c r="N928" s="3"/>
      <c r="Q928" s="3"/>
    </row>
    <row r="929" spans="8:17" ht="14.25" customHeight="1">
      <c r="H929" s="2"/>
      <c r="M929" s="3"/>
      <c r="N929" s="3"/>
      <c r="Q929" s="3"/>
    </row>
    <row r="930" spans="8:17" ht="14.25" customHeight="1">
      <c r="H930" s="2"/>
      <c r="M930" s="3"/>
      <c r="N930" s="3"/>
      <c r="Q930" s="3"/>
    </row>
    <row r="931" spans="8:17" ht="14.25" customHeight="1">
      <c r="H931" s="2"/>
      <c r="M931" s="3"/>
      <c r="N931" s="3"/>
      <c r="Q931" s="3"/>
    </row>
    <row r="932" spans="8:17" ht="14.25" customHeight="1">
      <c r="H932" s="2"/>
      <c r="M932" s="3"/>
      <c r="N932" s="3"/>
      <c r="Q932" s="3"/>
    </row>
    <row r="933" spans="8:17" ht="14.25" customHeight="1">
      <c r="H933" s="2"/>
      <c r="M933" s="3"/>
      <c r="N933" s="3"/>
      <c r="Q933" s="3"/>
    </row>
    <row r="934" spans="8:17" ht="14.25" customHeight="1">
      <c r="H934" s="2"/>
      <c r="M934" s="3"/>
      <c r="N934" s="3"/>
      <c r="Q934" s="3"/>
    </row>
    <row r="935" spans="8:17" ht="14.25" customHeight="1">
      <c r="H935" s="2"/>
      <c r="M935" s="3"/>
      <c r="N935" s="3"/>
      <c r="Q935" s="3"/>
    </row>
    <row r="936" spans="8:17" ht="14.25" customHeight="1">
      <c r="H936" s="2"/>
      <c r="M936" s="3"/>
      <c r="N936" s="3"/>
      <c r="Q936" s="3"/>
    </row>
    <row r="937" spans="8:17" ht="14.25" customHeight="1">
      <c r="H937" s="2"/>
      <c r="M937" s="3"/>
      <c r="N937" s="3"/>
      <c r="Q937" s="3"/>
    </row>
    <row r="938" spans="8:17" ht="14.25" customHeight="1">
      <c r="H938" s="2"/>
      <c r="M938" s="3"/>
      <c r="N938" s="3"/>
      <c r="Q938" s="3"/>
    </row>
    <row r="939" spans="8:17" ht="14.25" customHeight="1">
      <c r="H939" s="2"/>
      <c r="M939" s="3"/>
      <c r="N939" s="3"/>
      <c r="Q939" s="3"/>
    </row>
    <row r="940" spans="8:17" ht="14.25" customHeight="1">
      <c r="H940" s="2"/>
      <c r="M940" s="3"/>
      <c r="N940" s="3"/>
      <c r="Q940" s="3"/>
    </row>
    <row r="941" spans="8:17" ht="14.25" customHeight="1">
      <c r="H941" s="2"/>
      <c r="M941" s="3"/>
      <c r="N941" s="3"/>
      <c r="Q941" s="3"/>
    </row>
    <row r="942" spans="8:17" ht="14.25" customHeight="1">
      <c r="H942" s="2"/>
      <c r="M942" s="3"/>
      <c r="N942" s="3"/>
      <c r="Q942" s="3"/>
    </row>
    <row r="943" spans="8:17" ht="14.25" customHeight="1">
      <c r="H943" s="2"/>
      <c r="M943" s="3"/>
      <c r="N943" s="3"/>
      <c r="Q943" s="3"/>
    </row>
    <row r="944" spans="8:17" ht="14.25" customHeight="1">
      <c r="H944" s="2"/>
      <c r="M944" s="3"/>
      <c r="N944" s="3"/>
      <c r="Q944" s="3"/>
    </row>
    <row r="945" spans="8:17" ht="14.25" customHeight="1">
      <c r="H945" s="2"/>
      <c r="M945" s="3"/>
      <c r="N945" s="3"/>
      <c r="Q945" s="3"/>
    </row>
    <row r="946" spans="8:17" ht="14.25" customHeight="1">
      <c r="H946" s="2"/>
      <c r="M946" s="3"/>
      <c r="N946" s="3"/>
      <c r="Q946" s="3"/>
    </row>
    <row r="947" spans="8:17" ht="14.25" customHeight="1">
      <c r="H947" s="2"/>
      <c r="M947" s="3"/>
      <c r="N947" s="3"/>
      <c r="Q947" s="3"/>
    </row>
    <row r="948" spans="8:17" ht="14.25" customHeight="1">
      <c r="H948" s="2"/>
      <c r="M948" s="3"/>
      <c r="N948" s="3"/>
      <c r="Q948" s="3"/>
    </row>
    <row r="949" spans="8:17" ht="14.25" customHeight="1">
      <c r="H949" s="2"/>
      <c r="M949" s="3"/>
      <c r="N949" s="3"/>
      <c r="Q949" s="3"/>
    </row>
    <row r="950" spans="8:17" ht="14.25" customHeight="1">
      <c r="H950" s="2"/>
      <c r="M950" s="3"/>
      <c r="N950" s="3"/>
      <c r="Q950" s="3"/>
    </row>
    <row r="951" spans="8:17" ht="14.25" customHeight="1">
      <c r="H951" s="2"/>
      <c r="M951" s="3"/>
      <c r="N951" s="3"/>
      <c r="Q951" s="3"/>
    </row>
    <row r="952" spans="8:17" ht="14.25" customHeight="1">
      <c r="H952" s="2"/>
      <c r="M952" s="3"/>
      <c r="N952" s="3"/>
      <c r="Q952" s="3"/>
    </row>
    <row r="953" spans="8:17" ht="14.25" customHeight="1">
      <c r="H953" s="2"/>
      <c r="M953" s="3"/>
      <c r="N953" s="3"/>
      <c r="Q953" s="3"/>
    </row>
    <row r="954" spans="8:17" ht="14.25" customHeight="1">
      <c r="H954" s="2"/>
      <c r="M954" s="3"/>
      <c r="N954" s="3"/>
      <c r="Q954" s="3"/>
    </row>
    <row r="955" spans="8:17" ht="14.25" customHeight="1">
      <c r="H955" s="2"/>
      <c r="M955" s="3"/>
      <c r="N955" s="3"/>
      <c r="Q955" s="3"/>
    </row>
    <row r="956" spans="8:17" ht="14.25" customHeight="1">
      <c r="H956" s="2"/>
      <c r="M956" s="3"/>
      <c r="N956" s="3"/>
      <c r="Q956" s="3"/>
    </row>
    <row r="957" spans="8:17" ht="14.25" customHeight="1">
      <c r="H957" s="2"/>
      <c r="M957" s="3"/>
      <c r="N957" s="3"/>
      <c r="Q957" s="3"/>
    </row>
    <row r="958" spans="8:17" ht="14.25" customHeight="1">
      <c r="H958" s="2"/>
      <c r="M958" s="3"/>
      <c r="N958" s="3"/>
      <c r="Q958" s="3"/>
    </row>
    <row r="959" spans="8:17" ht="14.25" customHeight="1">
      <c r="H959" s="2"/>
      <c r="M959" s="3"/>
      <c r="N959" s="3"/>
      <c r="Q959" s="3"/>
    </row>
    <row r="960" spans="8:17" ht="14.25" customHeight="1">
      <c r="H960" s="2"/>
      <c r="M960" s="3"/>
      <c r="N960" s="3"/>
      <c r="Q960" s="3"/>
    </row>
    <row r="961" spans="8:17" ht="14.25" customHeight="1">
      <c r="H961" s="2"/>
      <c r="M961" s="3"/>
      <c r="N961" s="3"/>
      <c r="Q961" s="3"/>
    </row>
    <row r="962" spans="8:17" ht="14.25" customHeight="1">
      <c r="H962" s="2"/>
      <c r="M962" s="3"/>
      <c r="N962" s="3"/>
      <c r="Q962" s="3"/>
    </row>
    <row r="963" spans="8:17" ht="14.25" customHeight="1">
      <c r="H963" s="2"/>
      <c r="M963" s="3"/>
      <c r="N963" s="3"/>
      <c r="Q963" s="3"/>
    </row>
    <row r="964" spans="8:17" ht="14.25" customHeight="1">
      <c r="H964" s="2"/>
      <c r="M964" s="3"/>
      <c r="N964" s="3"/>
      <c r="Q964" s="3"/>
    </row>
    <row r="965" spans="8:17" ht="14.25" customHeight="1">
      <c r="H965" s="2"/>
      <c r="M965" s="3"/>
      <c r="N965" s="3"/>
      <c r="Q965" s="3"/>
    </row>
    <row r="966" spans="8:17" ht="14.25" customHeight="1">
      <c r="H966" s="2"/>
      <c r="M966" s="3"/>
      <c r="N966" s="3"/>
      <c r="Q966" s="3"/>
    </row>
    <row r="967" spans="8:17" ht="14.25" customHeight="1">
      <c r="H967" s="2"/>
      <c r="M967" s="3"/>
      <c r="N967" s="3"/>
      <c r="Q967" s="3"/>
    </row>
    <row r="968" spans="8:17" ht="14.25" customHeight="1">
      <c r="H968" s="2"/>
      <c r="M968" s="3"/>
      <c r="N968" s="3"/>
      <c r="Q968" s="3"/>
    </row>
    <row r="969" spans="8:17" ht="14.25" customHeight="1">
      <c r="H969" s="2"/>
      <c r="M969" s="3"/>
      <c r="N969" s="3"/>
      <c r="Q969" s="3"/>
    </row>
    <row r="970" spans="8:17" ht="14.25" customHeight="1">
      <c r="H970" s="2"/>
      <c r="M970" s="3"/>
      <c r="N970" s="3"/>
      <c r="Q970" s="3"/>
    </row>
    <row r="971" spans="8:17" ht="14.25" customHeight="1">
      <c r="H971" s="2"/>
      <c r="M971" s="3"/>
      <c r="N971" s="3"/>
      <c r="Q971" s="3"/>
    </row>
    <row r="972" spans="8:17" ht="14.25" customHeight="1">
      <c r="H972" s="2"/>
      <c r="M972" s="3"/>
      <c r="N972" s="3"/>
      <c r="Q972" s="3"/>
    </row>
    <row r="973" spans="8:17" ht="14.25" customHeight="1">
      <c r="H973" s="2"/>
      <c r="M973" s="3"/>
      <c r="N973" s="3"/>
      <c r="Q973" s="3"/>
    </row>
    <row r="974" spans="8:17" ht="14.25" customHeight="1">
      <c r="H974" s="2"/>
      <c r="M974" s="3"/>
      <c r="N974" s="3"/>
      <c r="Q974" s="3"/>
    </row>
    <row r="975" spans="8:17" ht="14.25" customHeight="1">
      <c r="H975" s="2"/>
      <c r="M975" s="3"/>
      <c r="N975" s="3"/>
      <c r="Q975" s="3"/>
    </row>
    <row r="976" spans="8:17" ht="14.25" customHeight="1">
      <c r="H976" s="2"/>
      <c r="M976" s="3"/>
      <c r="N976" s="3"/>
      <c r="Q976" s="3"/>
    </row>
    <row r="977" spans="8:17" ht="14.25" customHeight="1">
      <c r="H977" s="2"/>
      <c r="M977" s="3"/>
      <c r="N977" s="3"/>
      <c r="Q977" s="3"/>
    </row>
    <row r="978" spans="8:17" ht="14.25" customHeight="1">
      <c r="H978" s="2"/>
      <c r="M978" s="3"/>
      <c r="N978" s="3"/>
      <c r="Q978" s="3"/>
    </row>
    <row r="979" spans="8:17" ht="14.25" customHeight="1">
      <c r="H979" s="2"/>
      <c r="M979" s="3"/>
      <c r="N979" s="3"/>
      <c r="Q979" s="3"/>
    </row>
    <row r="980" spans="8:17" ht="14.25" customHeight="1">
      <c r="H980" s="2"/>
      <c r="M980" s="3"/>
      <c r="N980" s="3"/>
      <c r="Q980" s="3"/>
    </row>
    <row r="981" spans="8:17" ht="14.25" customHeight="1">
      <c r="H981" s="2"/>
      <c r="M981" s="3"/>
      <c r="N981" s="3"/>
      <c r="Q981" s="3"/>
    </row>
    <row r="982" spans="8:17" ht="14.25" customHeight="1">
      <c r="H982" s="2"/>
      <c r="M982" s="3"/>
      <c r="N982" s="3"/>
      <c r="Q982" s="3"/>
    </row>
    <row r="983" spans="8:17" ht="14.25" customHeight="1">
      <c r="H983" s="2"/>
      <c r="M983" s="3"/>
      <c r="N983" s="3"/>
      <c r="Q983" s="3"/>
    </row>
    <row r="984" spans="8:17" ht="14.25" customHeight="1">
      <c r="H984" s="2"/>
      <c r="M984" s="3"/>
      <c r="N984" s="3"/>
      <c r="Q984" s="3"/>
    </row>
    <row r="985" spans="8:17" ht="14.25" customHeight="1">
      <c r="H985" s="2"/>
      <c r="M985" s="3"/>
      <c r="N985" s="3"/>
      <c r="Q985" s="3"/>
    </row>
    <row r="986" spans="8:17" ht="14.25" customHeight="1">
      <c r="H986" s="2"/>
      <c r="M986" s="3"/>
      <c r="N986" s="3"/>
      <c r="Q986" s="3"/>
    </row>
    <row r="987" spans="8:17" ht="14.25" customHeight="1">
      <c r="H987" s="2"/>
      <c r="M987" s="3"/>
      <c r="N987" s="3"/>
      <c r="Q987" s="3"/>
    </row>
    <row r="988" spans="8:17" ht="14.25" customHeight="1">
      <c r="M988" s="3"/>
      <c r="N988" s="3"/>
      <c r="Q988" s="3"/>
    </row>
  </sheetData>
  <mergeCells count="6">
    <mergeCell ref="T18:X18"/>
    <mergeCell ref="B4:F4"/>
    <mergeCell ref="B18:F18"/>
    <mergeCell ref="H18:L18"/>
    <mergeCell ref="N18:R18"/>
    <mergeCell ref="H4:K4"/>
  </mergeCells>
  <phoneticPr fontId="16" type="noConversion"/>
  <pageMargins left="0.7" right="0.7" top="0.75" bottom="0.75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CC0A-76F8-4EB9-9643-E73196C9523E}">
  <dimension ref="B1:Q1048"/>
  <sheetViews>
    <sheetView zoomScale="85" zoomScaleNormal="85" workbookViewId="0">
      <selection activeCell="F12" sqref="F12"/>
    </sheetView>
  </sheetViews>
  <sheetFormatPr defaultColWidth="14.44140625" defaultRowHeight="15" customHeight="1"/>
  <cols>
    <col min="1" max="1" width="8.88671875" customWidth="1"/>
    <col min="2" max="2" width="58.44140625" customWidth="1"/>
    <col min="3" max="3" width="26" customWidth="1"/>
    <col min="4" max="4" width="11.109375" style="301" customWidth="1"/>
    <col min="5" max="5" width="11.109375" style="281" customWidth="1"/>
    <col min="6" max="6" width="139.6640625" customWidth="1"/>
    <col min="7" max="7" width="8.88671875" customWidth="1"/>
    <col min="8" max="8" width="17.5546875" customWidth="1"/>
    <col min="9" max="9" width="12" customWidth="1"/>
    <col min="10" max="10" width="13.88671875" customWidth="1"/>
    <col min="11" max="14" width="10.33203125" customWidth="1"/>
    <col min="15" max="15" width="12.77734375" customWidth="1"/>
    <col min="16" max="16" width="12" customWidth="1"/>
    <col min="17" max="17" width="11.88671875" customWidth="1"/>
    <col min="18" max="31" width="8.88671875" customWidth="1"/>
  </cols>
  <sheetData>
    <row r="1" spans="2:7" ht="14.25" customHeight="1">
      <c r="B1" s="1" t="s">
        <v>0</v>
      </c>
      <c r="C1" s="1"/>
      <c r="D1" s="290"/>
    </row>
    <row r="2" spans="2:7" ht="14.25" customHeight="1">
      <c r="B2" s="1" t="s">
        <v>432</v>
      </c>
      <c r="C2" s="1"/>
      <c r="D2" s="290"/>
    </row>
    <row r="3" spans="2:7" ht="14.25" customHeight="1" thickBot="1">
      <c r="B3" s="452"/>
      <c r="C3" s="427"/>
      <c r="D3" s="427"/>
      <c r="E3" s="427"/>
      <c r="F3" s="32"/>
    </row>
    <row r="4" spans="2:7" ht="15.75" customHeight="1" thickBot="1">
      <c r="B4" s="453" t="s">
        <v>630</v>
      </c>
      <c r="C4" s="454"/>
      <c r="D4" s="454"/>
      <c r="E4" s="454"/>
      <c r="F4" s="455"/>
      <c r="G4" s="32"/>
    </row>
    <row r="5" spans="2:7" ht="14.25" customHeight="1">
      <c r="B5" s="34" t="s">
        <v>433</v>
      </c>
      <c r="C5" s="35" t="s">
        <v>25</v>
      </c>
      <c r="D5" s="291" t="s">
        <v>45</v>
      </c>
      <c r="E5" s="282" t="s">
        <v>26</v>
      </c>
      <c r="F5" s="36" t="s">
        <v>27</v>
      </c>
      <c r="G5" s="32"/>
    </row>
    <row r="6" spans="2:7" ht="15.75" customHeight="1">
      <c r="B6" s="396" t="s">
        <v>591</v>
      </c>
      <c r="C6" s="14"/>
      <c r="D6" s="292"/>
      <c r="E6" s="283"/>
      <c r="F6" s="37"/>
      <c r="G6" s="32"/>
    </row>
    <row r="7" spans="2:7" ht="14.25" customHeight="1">
      <c r="B7" s="40" t="s">
        <v>435</v>
      </c>
      <c r="C7" s="44" t="s">
        <v>436</v>
      </c>
      <c r="D7" s="293">
        <f>'2-Inventory analysis-HTS'!D7*(('2-Inventory analysis-HTS'!D31/COS('2-Inventory analysis-HTS'!D27*PI()/180))+('2-Inventory analysis-HTS'!D32/COS('2-Inventory analysis-HTS'!D28*PI()/180)))</f>
        <v>3417844.1446078545</v>
      </c>
      <c r="E7" s="284" t="s">
        <v>29</v>
      </c>
      <c r="F7" s="321" t="s">
        <v>437</v>
      </c>
      <c r="G7" s="32"/>
    </row>
    <row r="8" spans="2:7" ht="14.25" customHeight="1">
      <c r="B8" s="38" t="s">
        <v>438</v>
      </c>
      <c r="C8" s="44" t="s">
        <v>439</v>
      </c>
      <c r="D8" s="293">
        <f>'2-Inventory analysis-HTS'!D7*'2-Inventory analysis-HTS'!D33/COS('2-Inventory analysis-HTS'!D29*PI()/180)</f>
        <v>2430288.127254751</v>
      </c>
      <c r="E8" s="284" t="s">
        <v>29</v>
      </c>
      <c r="F8" s="321" t="s">
        <v>440</v>
      </c>
      <c r="G8" s="32"/>
    </row>
    <row r="9" spans="2:7" ht="14.25" customHeight="1">
      <c r="B9" s="38" t="s">
        <v>441</v>
      </c>
      <c r="C9" s="44" t="s">
        <v>442</v>
      </c>
      <c r="D9" s="293">
        <f>'2-Inventory analysis-HTS'!D7*'2-Inventory analysis-HTS'!D34/COS('2-Inventory analysis-HTS'!D30*PI()/180)</f>
        <v>3133065.4332236904</v>
      </c>
      <c r="E9" s="284" t="s">
        <v>29</v>
      </c>
      <c r="F9" s="321" t="s">
        <v>443</v>
      </c>
      <c r="G9" s="32"/>
    </row>
    <row r="10" spans="2:7" ht="14.25" customHeight="1">
      <c r="B10" s="38" t="s">
        <v>444</v>
      </c>
      <c r="C10" s="44" t="s">
        <v>445</v>
      </c>
      <c r="D10" s="294">
        <f>'2-Inventory analysis-HTS'!D7*PI()*(('2-Inventory analysis-HTS'!D42^2)-('2-Inventory analysis-HTS'!D41^2))</f>
        <v>30.864964717346624</v>
      </c>
      <c r="E10" s="284" t="s">
        <v>446</v>
      </c>
      <c r="F10" s="321" t="s">
        <v>447</v>
      </c>
      <c r="G10" s="33"/>
    </row>
    <row r="11" spans="2:7" ht="14.25" customHeight="1">
      <c r="B11" s="40" t="s">
        <v>448</v>
      </c>
      <c r="C11" s="44" t="s">
        <v>449</v>
      </c>
      <c r="D11" s="294">
        <f>'2-Inventory analysis-HTS'!D7*PI()*(('2-Inventory analysis-HTS'!D52^2)-('2-Inventory analysis-HTS'!D51^2))</f>
        <v>119.72435589900223</v>
      </c>
      <c r="E11" s="284" t="s">
        <v>446</v>
      </c>
      <c r="F11" s="321" t="s">
        <v>450</v>
      </c>
      <c r="G11" s="32"/>
    </row>
    <row r="12" spans="2:7" ht="14.25" customHeight="1">
      <c r="B12" s="40" t="s">
        <v>451</v>
      </c>
      <c r="C12" s="44" t="s">
        <v>452</v>
      </c>
      <c r="D12" s="294">
        <f>'2-Inventory analysis-HTS'!D7*PI()*(('2-Inventory analysis-HTS'!D54^2)-('2-Inventory analysis-HTS'!D53^2))</f>
        <v>152.02040862532996</v>
      </c>
      <c r="E12" s="284" t="s">
        <v>446</v>
      </c>
      <c r="F12" s="321" t="s">
        <v>453</v>
      </c>
      <c r="G12" s="32"/>
    </row>
    <row r="13" spans="2:7" ht="14.25" customHeight="1">
      <c r="B13" s="40" t="s">
        <v>454</v>
      </c>
      <c r="C13" s="44" t="s">
        <v>455</v>
      </c>
      <c r="D13" s="294">
        <f>'2-Inventory analysis-HTS'!D7*PI()*(('2-Inventory analysis-HTS'!D56^2)-('2-Inventory analysis-HTS'!D55^2))</f>
        <v>183.90116153056999</v>
      </c>
      <c r="E13" s="284" t="s">
        <v>446</v>
      </c>
      <c r="F13" s="321" t="s">
        <v>456</v>
      </c>
      <c r="G13" s="32"/>
    </row>
    <row r="14" spans="2:7" ht="14.25" customHeight="1">
      <c r="B14" s="40" t="s">
        <v>457</v>
      </c>
      <c r="C14" s="44" t="s">
        <v>458</v>
      </c>
      <c r="D14" s="294">
        <f>'2-Inventory analysis-HTS'!D7*PI()*(('2-Inventory analysis-HTS'!D68^2)-('2-Inventory analysis-HTS'!D67^2)+('2-Inventory analysis-HTS'!D66^2))</f>
        <v>607.25636788799545</v>
      </c>
      <c r="E14" s="284" t="s">
        <v>446</v>
      </c>
      <c r="F14" s="321" t="s">
        <v>459</v>
      </c>
      <c r="G14" s="32"/>
    </row>
    <row r="15" spans="2:7" ht="14.25" customHeight="1">
      <c r="B15" s="43" t="s">
        <v>592</v>
      </c>
      <c r="C15" s="15"/>
      <c r="D15" s="294"/>
      <c r="E15" s="284"/>
      <c r="F15" s="39"/>
      <c r="G15" s="32"/>
    </row>
    <row r="16" spans="2:7" ht="14.25" customHeight="1">
      <c r="B16" s="40" t="s">
        <v>426</v>
      </c>
      <c r="C16" s="44" t="s">
        <v>427</v>
      </c>
      <c r="D16" s="294">
        <f>'3.0-HTS Cable design'!P69/1000</f>
        <v>38.690638155978142</v>
      </c>
      <c r="E16" s="284" t="s">
        <v>461</v>
      </c>
      <c r="F16" s="127" t="s">
        <v>462</v>
      </c>
      <c r="G16" s="32"/>
    </row>
    <row r="17" spans="2:7" ht="14.25" customHeight="1">
      <c r="B17" s="40" t="s">
        <v>428</v>
      </c>
      <c r="C17" s="44" t="s">
        <v>429</v>
      </c>
      <c r="D17" s="294">
        <f>'3.0-HTS Cable design'!P70/1000</f>
        <v>50.616795933613616</v>
      </c>
      <c r="E17" s="284" t="s">
        <v>461</v>
      </c>
      <c r="F17" s="127" t="s">
        <v>462</v>
      </c>
      <c r="G17" s="32"/>
    </row>
    <row r="18" spans="2:7" ht="14.25" customHeight="1">
      <c r="B18" s="40" t="s">
        <v>430</v>
      </c>
      <c r="C18" s="44" t="s">
        <v>431</v>
      </c>
      <c r="D18" s="294">
        <f>'3.0-HTS Cable design'!P71/1000</f>
        <v>2.6370104886421788</v>
      </c>
      <c r="E18" s="284" t="s">
        <v>461</v>
      </c>
      <c r="F18" s="127" t="s">
        <v>462</v>
      </c>
      <c r="G18" s="32"/>
    </row>
    <row r="19" spans="2:7" ht="14.25" customHeight="1">
      <c r="B19" s="40" t="s">
        <v>463</v>
      </c>
      <c r="C19" s="44" t="s">
        <v>464</v>
      </c>
      <c r="D19" s="294">
        <f>D16+D17</f>
        <v>89.307434089591766</v>
      </c>
      <c r="E19" s="284" t="s">
        <v>461</v>
      </c>
      <c r="F19" s="127" t="s">
        <v>465</v>
      </c>
      <c r="G19" s="32"/>
    </row>
    <row r="20" spans="2:7" ht="14.25" customHeight="1">
      <c r="B20" s="40" t="s">
        <v>466</v>
      </c>
      <c r="C20" s="44" t="s">
        <v>467</v>
      </c>
      <c r="D20" s="294">
        <f>D17+D18</f>
        <v>53.253806422255792</v>
      </c>
      <c r="E20" s="284" t="s">
        <v>461</v>
      </c>
      <c r="F20" s="127" t="s">
        <v>468</v>
      </c>
      <c r="G20" s="32"/>
    </row>
    <row r="21" spans="2:7" ht="14.25" customHeight="1">
      <c r="B21" s="40" t="s">
        <v>469</v>
      </c>
      <c r="C21" s="44" t="s">
        <v>470</v>
      </c>
      <c r="D21" s="294">
        <f>D16+D18</f>
        <v>41.327648644620318</v>
      </c>
      <c r="E21" s="284" t="s">
        <v>461</v>
      </c>
      <c r="F21" s="127" t="s">
        <v>471</v>
      </c>
      <c r="G21" s="32"/>
    </row>
    <row r="22" spans="2:7" ht="14.25" customHeight="1">
      <c r="B22" s="41" t="s">
        <v>472</v>
      </c>
      <c r="C22" s="45" t="s">
        <v>473</v>
      </c>
      <c r="D22" s="293">
        <f>'3.0-HTS Cable design'!V37</f>
        <v>307287.12054388307</v>
      </c>
      <c r="E22" s="284" t="s">
        <v>361</v>
      </c>
      <c r="F22" s="39"/>
      <c r="G22" s="32"/>
    </row>
    <row r="23" spans="2:7" ht="14.25" customHeight="1">
      <c r="B23" s="41" t="s">
        <v>474</v>
      </c>
      <c r="C23" s="45" t="s">
        <v>475</v>
      </c>
      <c r="D23" s="293">
        <f>'3.0-HTS Cable design'!V38</f>
        <v>459328.13512536272</v>
      </c>
      <c r="E23" s="284" t="s">
        <v>361</v>
      </c>
      <c r="F23" s="39"/>
      <c r="G23" s="32"/>
    </row>
    <row r="24" spans="2:7" ht="14.25" customHeight="1">
      <c r="B24" s="41" t="s">
        <v>476</v>
      </c>
      <c r="C24" s="45" t="s">
        <v>477</v>
      </c>
      <c r="D24" s="294">
        <f>('2-Inventory analysis-HTS'!D81*(D22+D23)/'2-Inventory analysis-HTS'!D74)/1000</f>
        <v>1.964508700463502</v>
      </c>
      <c r="E24" s="284" t="s">
        <v>461</v>
      </c>
      <c r="F24" s="322" t="s">
        <v>478</v>
      </c>
      <c r="G24" s="32"/>
    </row>
    <row r="25" spans="2:7" ht="14.25" customHeight="1">
      <c r="B25" s="41" t="s">
        <v>479</v>
      </c>
      <c r="C25" s="45" t="s">
        <v>480</v>
      </c>
      <c r="D25" s="294">
        <f>('2-Inventory analysis-HTS'!D81*(D23)/'2-Inventory analysis-HTS'!D74)/1000</f>
        <v>1.1770625631937184</v>
      </c>
      <c r="E25" s="284" t="s">
        <v>461</v>
      </c>
      <c r="F25" s="322" t="s">
        <v>481</v>
      </c>
      <c r="G25" s="32"/>
    </row>
    <row r="26" spans="2:7" ht="14.25" customHeight="1">
      <c r="B26" s="41" t="s">
        <v>482</v>
      </c>
      <c r="C26" s="45" t="s">
        <v>483</v>
      </c>
      <c r="D26" s="294">
        <f>('2-Inventory analysis-HTS'!D81*(D22)/'2-Inventory analysis-HTS'!D74)/1000</f>
        <v>0.78744613726978374</v>
      </c>
      <c r="E26" s="284" t="s">
        <v>461</v>
      </c>
      <c r="F26" s="322" t="s">
        <v>484</v>
      </c>
      <c r="G26" s="32"/>
    </row>
    <row r="27" spans="2:7" ht="14.25" customHeight="1">
      <c r="B27" s="41" t="s">
        <v>485</v>
      </c>
      <c r="C27" s="45" t="s">
        <v>486</v>
      </c>
      <c r="D27" s="294">
        <f>(D19*('2-Inventory analysis-HTS'!D11-'2-Inventory analysis-HTS'!D76)/('2-Inventory analysis-HTS'!D104*'2-Inventory analysis-HTS'!D76))+(D24/'2-Inventory analysis-HTS'!D105)</f>
        <v>3091.136312495883</v>
      </c>
      <c r="E27" s="284" t="s">
        <v>461</v>
      </c>
      <c r="F27" s="322" t="s">
        <v>487</v>
      </c>
      <c r="G27" s="32"/>
    </row>
    <row r="28" spans="2:7" ht="14.25" customHeight="1">
      <c r="B28" s="41" t="s">
        <v>488</v>
      </c>
      <c r="C28" s="45" t="s">
        <v>489</v>
      </c>
      <c r="D28" s="294">
        <f>(D20*('2-Inventory analysis-HTS'!D11-'2-Inventory analysis-HTS'!D76)/('2-Inventory analysis-HTS'!D76*'2-Inventory analysis-HTS'!D104))+('3-Calculation of indicators'!D25/'2-Inventory analysis-HTS'!D105)</f>
        <v>1843.2451326817502</v>
      </c>
      <c r="E28" s="284" t="s">
        <v>461</v>
      </c>
      <c r="F28" s="322" t="s">
        <v>490</v>
      </c>
      <c r="G28" s="32"/>
    </row>
    <row r="29" spans="2:7" ht="14.25" customHeight="1">
      <c r="B29" s="41" t="s">
        <v>491</v>
      </c>
      <c r="C29" s="45" t="s">
        <v>492</v>
      </c>
      <c r="D29" s="294">
        <f>(D21*('2-Inventory analysis-HTS'!D11-'2-Inventory analysis-HTS'!D76)/('2-Inventory analysis-HTS'!D76*'2-Inventory analysis-HTS'!D104))+('3-Calculation of indicators'!D26/'2-Inventory analysis-HTS'!D105)</f>
        <v>1430.2714787565462</v>
      </c>
      <c r="E29" s="284" t="s">
        <v>461</v>
      </c>
      <c r="F29" s="322" t="s">
        <v>493</v>
      </c>
      <c r="G29" s="32"/>
    </row>
    <row r="30" spans="2:7" ht="14.25" customHeight="1" thickBot="1">
      <c r="B30" s="342" t="s">
        <v>494</v>
      </c>
      <c r="C30" s="343"/>
      <c r="D30" s="344"/>
      <c r="E30" s="345"/>
      <c r="F30" s="346"/>
      <c r="G30" s="32"/>
    </row>
    <row r="31" spans="2:7" ht="14.25" customHeight="1">
      <c r="B31" s="347" t="s">
        <v>495</v>
      </c>
      <c r="C31" s="348" t="s">
        <v>496</v>
      </c>
      <c r="D31" s="349">
        <f>'3.0-HTS Cable design'!V27</f>
        <v>3.5139995658551633</v>
      </c>
      <c r="E31" s="350" t="s">
        <v>63</v>
      </c>
      <c r="F31" s="351"/>
      <c r="G31" s="315"/>
    </row>
    <row r="32" spans="2:7" ht="14.25" customHeight="1">
      <c r="B32" s="41" t="s">
        <v>497</v>
      </c>
      <c r="C32" s="45" t="s">
        <v>498</v>
      </c>
      <c r="D32" s="309">
        <f>'3.0-HTS Cable design'!V28</f>
        <v>4.6179531103207978</v>
      </c>
      <c r="E32" s="284" t="s">
        <v>63</v>
      </c>
      <c r="F32" s="127"/>
      <c r="G32" s="32"/>
    </row>
    <row r="33" spans="2:7" ht="14.25" customHeight="1" thickBot="1">
      <c r="B33" s="357" t="s">
        <v>181</v>
      </c>
      <c r="C33" s="341" t="s">
        <v>182</v>
      </c>
      <c r="D33" s="358">
        <f>'2-Inventory analysis-HTS'!D78</f>
        <v>10</v>
      </c>
      <c r="E33" s="359" t="s">
        <v>63</v>
      </c>
      <c r="F33" s="360"/>
      <c r="G33" s="32"/>
    </row>
    <row r="34" spans="2:7" ht="14.25" customHeight="1">
      <c r="B34" s="361" t="s">
        <v>499</v>
      </c>
      <c r="C34" s="362" t="s">
        <v>475</v>
      </c>
      <c r="D34" s="363">
        <f>D22/100000</f>
        <v>3.0728712054388305</v>
      </c>
      <c r="E34" s="364" t="s">
        <v>185</v>
      </c>
      <c r="F34" s="365"/>
      <c r="G34" s="32"/>
    </row>
    <row r="35" spans="2:7" ht="14.25" customHeight="1">
      <c r="B35" s="366" t="s">
        <v>499</v>
      </c>
      <c r="C35" s="45" t="s">
        <v>475</v>
      </c>
      <c r="D35" s="309">
        <f>D23/100000</f>
        <v>4.5932813512536272</v>
      </c>
      <c r="E35" s="284" t="s">
        <v>185</v>
      </c>
      <c r="F35" s="367"/>
      <c r="G35" s="32"/>
    </row>
    <row r="36" spans="2:7" ht="14.25" customHeight="1" thickBot="1">
      <c r="B36" s="368" t="s">
        <v>183</v>
      </c>
      <c r="C36" s="341" t="s">
        <v>184</v>
      </c>
      <c r="D36" s="358">
        <f>'2-Inventory analysis-HTS'!D79</f>
        <v>12</v>
      </c>
      <c r="E36" s="359" t="s">
        <v>185</v>
      </c>
      <c r="F36" s="369"/>
      <c r="G36" s="32"/>
    </row>
    <row r="37" spans="2:7" ht="14.25" customHeight="1">
      <c r="B37" s="347" t="s">
        <v>500</v>
      </c>
      <c r="C37" s="348" t="s">
        <v>180</v>
      </c>
      <c r="D37" s="349">
        <f>'2-Inventory analysis-HTS'!D77</f>
        <v>70.400000000000006</v>
      </c>
      <c r="E37" s="350" t="s">
        <v>63</v>
      </c>
      <c r="F37" s="351"/>
      <c r="G37" s="32"/>
    </row>
    <row r="38" spans="2:7" ht="14.25" customHeight="1" thickBot="1">
      <c r="B38" s="352" t="s">
        <v>501</v>
      </c>
      <c r="C38" s="353" t="s">
        <v>180</v>
      </c>
      <c r="D38" s="354">
        <f>'3.0-HTS Cable design'!V32</f>
        <v>70.308976555160399</v>
      </c>
      <c r="E38" s="355" t="s">
        <v>63</v>
      </c>
      <c r="F38" s="356"/>
      <c r="G38" s="32"/>
    </row>
    <row r="39" spans="2:7" ht="14.25" customHeight="1">
      <c r="B39" s="347" t="s">
        <v>502</v>
      </c>
      <c r="C39" s="348" t="s">
        <v>74</v>
      </c>
      <c r="D39" s="349">
        <f>'2-Inventory analysis-HTS'!D17</f>
        <v>70.099999999999994</v>
      </c>
      <c r="E39" s="350" t="s">
        <v>63</v>
      </c>
      <c r="F39" s="351"/>
      <c r="G39" s="32"/>
    </row>
    <row r="40" spans="2:7" ht="14.25" customHeight="1" thickBot="1">
      <c r="B40" s="352" t="s">
        <v>503</v>
      </c>
      <c r="C40" s="353" t="s">
        <v>74</v>
      </c>
      <c r="D40" s="354">
        <f>'3.0-HTS Cable design'!V35</f>
        <v>70.032988169043989</v>
      </c>
      <c r="E40" s="355" t="s">
        <v>63</v>
      </c>
      <c r="F40" s="356"/>
      <c r="G40" s="32"/>
    </row>
    <row r="41" spans="2:7" ht="14.25" customHeight="1">
      <c r="B41" s="370" t="s">
        <v>504</v>
      </c>
      <c r="C41" s="371" t="s">
        <v>505</v>
      </c>
      <c r="D41" s="372">
        <f>'2-Inventory analysis-HTS'!D18*(-0.0654*MAX('3.0-HTS Cable design'!V33,'3.0-HTS Cable design'!V34)+6.0503)</f>
        <v>426.47969450801025</v>
      </c>
      <c r="E41" s="350" t="s">
        <v>28</v>
      </c>
      <c r="F41" s="351"/>
      <c r="G41" s="32"/>
    </row>
    <row r="42" spans="2:7" ht="14.25" customHeight="1">
      <c r="B42" s="41" t="s">
        <v>506</v>
      </c>
      <c r="C42" s="45" t="s">
        <v>507</v>
      </c>
      <c r="D42" s="316">
        <f>(SQRT(2)*'3.0-HTS Cable design'!D13/'3.0-HTS Cable design'!P24)/'3-Calculation of indicators'!$D$41</f>
        <v>0.4403990677480456</v>
      </c>
      <c r="E42" s="284"/>
      <c r="F42" s="127" t="s">
        <v>508</v>
      </c>
      <c r="G42" s="32"/>
    </row>
    <row r="43" spans="2:7" ht="14.25" customHeight="1">
      <c r="B43" s="41" t="s">
        <v>509</v>
      </c>
      <c r="C43" s="45" t="s">
        <v>510</v>
      </c>
      <c r="D43" s="316">
        <f>(SQRT(2)*'3.0-HTS Cable design'!D14/'3.0-HTS Cable design'!P25)/'3-Calculation of indicators'!$D$41</f>
        <v>0.4403990677480456</v>
      </c>
      <c r="E43" s="284"/>
      <c r="F43" s="127" t="s">
        <v>511</v>
      </c>
      <c r="G43" s="32"/>
    </row>
    <row r="44" spans="2:7" ht="14.25" customHeight="1">
      <c r="B44" s="41" t="s">
        <v>512</v>
      </c>
      <c r="C44" s="45" t="s">
        <v>513</v>
      </c>
      <c r="D44" s="316">
        <f>(SQRT(2)*'3.0-HTS Cable design'!D15/'3.0-HTS Cable design'!P26)/'3-Calculation of indicators'!$D$41</f>
        <v>0.61893923034860476</v>
      </c>
      <c r="E44" s="284"/>
      <c r="F44" s="127" t="s">
        <v>514</v>
      </c>
      <c r="G44" s="32"/>
    </row>
    <row r="45" spans="2:7" ht="14.25" customHeight="1">
      <c r="B45" s="41" t="s">
        <v>515</v>
      </c>
      <c r="C45" s="45" t="s">
        <v>516</v>
      </c>
      <c r="D45" s="316">
        <f>(SQRT(2)*'3.0-HTS Cable design'!D16/'3.0-HTS Cable design'!P27)/'3-Calculation of indicators'!$D$41</f>
        <v>0.48212108469259735</v>
      </c>
      <c r="E45" s="284"/>
      <c r="F45" s="127" t="s">
        <v>517</v>
      </c>
      <c r="G45" s="32"/>
    </row>
    <row r="46" spans="2:7" ht="14.25" customHeight="1" thickBot="1">
      <c r="B46" s="373" t="s">
        <v>77</v>
      </c>
      <c r="C46" s="374" t="s">
        <v>78</v>
      </c>
      <c r="D46" s="375">
        <f>'2-Inventory analysis-HTS'!D19</f>
        <v>0.8</v>
      </c>
      <c r="E46" s="376"/>
      <c r="F46" s="377"/>
      <c r="G46" s="32"/>
    </row>
    <row r="47" spans="2:7" ht="15.75" customHeight="1" thickBot="1">
      <c r="B47" s="456" t="s">
        <v>629</v>
      </c>
      <c r="C47" s="432"/>
      <c r="D47" s="432"/>
      <c r="E47" s="432"/>
      <c r="F47" s="433"/>
    </row>
    <row r="48" spans="2:7" ht="14.25" customHeight="1">
      <c r="B48" s="20" t="s">
        <v>433</v>
      </c>
      <c r="C48" s="21" t="s">
        <v>25</v>
      </c>
      <c r="D48" s="295" t="s">
        <v>45</v>
      </c>
      <c r="E48" s="285" t="s">
        <v>26</v>
      </c>
      <c r="F48" s="22" t="s">
        <v>27</v>
      </c>
    </row>
    <row r="49" spans="2:6" ht="15.75" customHeight="1">
      <c r="B49" s="48" t="s">
        <v>434</v>
      </c>
      <c r="C49" s="16"/>
      <c r="D49" s="296"/>
      <c r="E49" s="286"/>
      <c r="F49" s="23"/>
    </row>
    <row r="50" spans="2:6" ht="15.75" customHeight="1">
      <c r="B50" s="24" t="s">
        <v>518</v>
      </c>
      <c r="C50" s="280" t="s">
        <v>572</v>
      </c>
      <c r="D50" s="297">
        <f>'2-Inventory analysis-HTS'!D37*('3-Calculation of indicators'!D7+'3-Calculation of indicators'!D8+'3-Calculation of indicators'!D9)*'2-Inventory analysis-HTS'!D6/1000000</f>
        <v>538.87186230517784</v>
      </c>
      <c r="E50" s="287" t="s">
        <v>519</v>
      </c>
      <c r="F50" s="46" t="s">
        <v>615</v>
      </c>
    </row>
    <row r="51" spans="2:6" ht="15.75" customHeight="1">
      <c r="B51" s="24" t="s">
        <v>520</v>
      </c>
      <c r="C51" s="280" t="s">
        <v>573</v>
      </c>
      <c r="D51" s="297">
        <f>'2-Inventory analysis-HTS'!D47*D10*'2-Inventory analysis-HTS'!D44*'2-Inventory analysis-HTS'!D6/1000000</f>
        <v>3.8241691284792467</v>
      </c>
      <c r="E51" s="287" t="s">
        <v>519</v>
      </c>
      <c r="F51" s="46" t="s">
        <v>616</v>
      </c>
    </row>
    <row r="52" spans="2:6" ht="15.75" customHeight="1">
      <c r="B52" s="25" t="s">
        <v>521</v>
      </c>
      <c r="C52" s="280" t="s">
        <v>574</v>
      </c>
      <c r="D52" s="298">
        <f>'2-Inventory analysis-HTS'!D59*'2-Inventory analysis-HTS'!D62*('3-Calculation of indicators'!D11+'3-Calculation of indicators'!D12+'3-Calculation of indicators'!D13)*'2-Inventory analysis-HTS'!D6/1000000</f>
        <v>8.2016266689882382</v>
      </c>
      <c r="E52" s="287" t="s">
        <v>519</v>
      </c>
      <c r="F52" s="46" t="s">
        <v>617</v>
      </c>
    </row>
    <row r="53" spans="2:6" ht="15.75" customHeight="1">
      <c r="B53" s="25" t="s">
        <v>522</v>
      </c>
      <c r="C53" s="280" t="s">
        <v>575</v>
      </c>
      <c r="D53" s="299">
        <f>'2-Inventory analysis-HTS'!D84*'2-Inventory analysis-HTS'!D75*'3-Calculation of indicators'!D14*'2-Inventory analysis-HTS'!D6/1000000</f>
        <v>2.3998771658933582E-4</v>
      </c>
      <c r="E53" s="287" t="s">
        <v>519</v>
      </c>
      <c r="F53" s="46" t="s">
        <v>618</v>
      </c>
    </row>
    <row r="54" spans="2:6" ht="15.75" customHeight="1">
      <c r="B54" s="25" t="s">
        <v>523</v>
      </c>
      <c r="C54" s="280" t="s">
        <v>576</v>
      </c>
      <c r="D54" s="298">
        <f>'2-Inventory analysis-HTS'!D7*'2-Inventory analysis-HTS'!D91*'2-Inventory analysis-HTS'!D6/1000/1000000</f>
        <v>14.08</v>
      </c>
      <c r="E54" s="287" t="s">
        <v>519</v>
      </c>
      <c r="F54" s="46" t="s">
        <v>619</v>
      </c>
    </row>
    <row r="55" spans="2:6" ht="15.75" customHeight="1">
      <c r="B55" s="25" t="s">
        <v>524</v>
      </c>
      <c r="C55" s="280" t="s">
        <v>209</v>
      </c>
      <c r="D55" s="298">
        <f>'2-Inventory analysis-HTS'!D99*'2-Inventory analysis-HTS'!D6/1000000</f>
        <v>0.8</v>
      </c>
      <c r="E55" s="287" t="s">
        <v>519</v>
      </c>
      <c r="F55" s="46" t="s">
        <v>620</v>
      </c>
    </row>
    <row r="56" spans="2:6" ht="15.75" customHeight="1">
      <c r="B56" s="43" t="s">
        <v>460</v>
      </c>
      <c r="C56" s="17"/>
      <c r="D56" s="298"/>
      <c r="E56" s="287"/>
      <c r="F56" s="26"/>
    </row>
    <row r="57" spans="2:6" ht="15.75" customHeight="1">
      <c r="B57" s="25" t="s">
        <v>525</v>
      </c>
      <c r="C57" s="280" t="s">
        <v>577</v>
      </c>
      <c r="D57" s="298">
        <f>('2-Inventory analysis-HTS'!D103*('2-Inventory analysis-HTS'!D108+('2-Inventory analysis-HTS'!D109*'3-Calculation of indicators'!D19*'2-Inventory analysis-HTS'!D111*'2-Inventory analysis-HTS'!D112))+'2-Inventory analysis-HTS'!D108+('2-Inventory analysis-HTS'!D109*'2-Inventory analysis-HTS'!D111*'2-Inventory analysis-HTS'!D112*'3-Calculation of indicators'!D20)+'2-Inventory analysis-HTS'!D108+('2-Inventory analysis-HTS'!D109*'2-Inventory analysis-HTS'!D111*'2-Inventory analysis-HTS'!D112*'3-Calculation of indicators'!D21))*'2-Inventory analysis-HTS'!D6/1000000</f>
        <v>7.0327376768436478</v>
      </c>
      <c r="E57" s="287" t="s">
        <v>519</v>
      </c>
      <c r="F57" s="46" t="s">
        <v>621</v>
      </c>
    </row>
    <row r="58" spans="2:6" ht="15.75" customHeight="1">
      <c r="B58" s="25" t="s">
        <v>526</v>
      </c>
      <c r="C58" s="17" t="s">
        <v>527</v>
      </c>
      <c r="D58" s="298" t="s">
        <v>568</v>
      </c>
      <c r="E58" s="287" t="s">
        <v>528</v>
      </c>
      <c r="F58" s="46" t="s">
        <v>622</v>
      </c>
    </row>
    <row r="59" spans="2:6" ht="15.75" customHeight="1">
      <c r="B59" s="25" t="s">
        <v>529</v>
      </c>
      <c r="C59" s="280" t="s">
        <v>578</v>
      </c>
      <c r="D59" s="298">
        <f>M123</f>
        <v>15.758054417837183</v>
      </c>
      <c r="E59" s="287" t="s">
        <v>519</v>
      </c>
      <c r="F59" s="46" t="s">
        <v>610</v>
      </c>
    </row>
    <row r="60" spans="2:6" ht="15.75" customHeight="1">
      <c r="B60" s="43" t="s">
        <v>530</v>
      </c>
      <c r="C60" s="17"/>
      <c r="D60" s="298"/>
      <c r="E60" s="287"/>
      <c r="F60" s="46"/>
    </row>
    <row r="61" spans="2:6" ht="15.75" customHeight="1">
      <c r="B61" s="25" t="s">
        <v>531</v>
      </c>
      <c r="C61" s="280" t="s">
        <v>579</v>
      </c>
      <c r="D61" s="298">
        <f>'2-Inventory analysis-HTS'!D7*'2-Inventory analysis-HTS'!D119*2*'2-Inventory analysis-HTS'!D116*'2-Inventory analysis-HTS'!D6/1000000</f>
        <v>0.76800000000000002</v>
      </c>
      <c r="E61" s="287" t="s">
        <v>519</v>
      </c>
      <c r="F61" s="46" t="s">
        <v>623</v>
      </c>
    </row>
    <row r="62" spans="2:6" ht="15.75" customHeight="1">
      <c r="B62" s="43" t="s">
        <v>532</v>
      </c>
      <c r="C62" s="17"/>
      <c r="D62" s="298"/>
      <c r="E62" s="287"/>
      <c r="F62" s="46"/>
    </row>
    <row r="63" spans="2:6" ht="15.75" customHeight="1">
      <c r="B63" s="25" t="s">
        <v>533</v>
      </c>
      <c r="C63" s="280" t="s">
        <v>580</v>
      </c>
      <c r="D63" s="298">
        <f>'2-Inventory analysis-HTS'!D124*'2-Inventory analysis-HTS'!D7*'2-Inventory analysis-HTS'!D6/1000/1000000</f>
        <v>64</v>
      </c>
      <c r="E63" s="287" t="s">
        <v>519</v>
      </c>
      <c r="F63" s="46" t="s">
        <v>624</v>
      </c>
    </row>
    <row r="64" spans="2:6" ht="15.75" customHeight="1">
      <c r="B64" s="43" t="s">
        <v>534</v>
      </c>
      <c r="C64" s="17"/>
      <c r="D64" s="298"/>
      <c r="E64" s="287"/>
      <c r="F64" s="46"/>
    </row>
    <row r="65" spans="2:17" ht="15.75" customHeight="1">
      <c r="B65" s="25" t="s">
        <v>535</v>
      </c>
      <c r="C65" s="280" t="s">
        <v>581</v>
      </c>
      <c r="D65" s="298">
        <f>'2-Inventory analysis-HTS'!D7*'2-Inventory analysis-HTS'!D129*'2-Inventory analysis-HTS'!D6/1000/1000000</f>
        <v>3.3279999999999998</v>
      </c>
      <c r="E65" s="287" t="s">
        <v>519</v>
      </c>
      <c r="F65" s="46" t="s">
        <v>625</v>
      </c>
    </row>
    <row r="66" spans="2:17" ht="15.75" customHeight="1">
      <c r="B66" s="43" t="s">
        <v>536</v>
      </c>
      <c r="C66" s="17"/>
      <c r="D66" s="298"/>
      <c r="E66" s="287"/>
      <c r="F66" s="46"/>
    </row>
    <row r="67" spans="2:17" ht="15.75" customHeight="1">
      <c r="B67" s="25" t="s">
        <v>537</v>
      </c>
      <c r="C67" s="280" t="s">
        <v>582</v>
      </c>
      <c r="D67" s="298">
        <f>(('2-Inventory analysis-HTS'!D139*'2-Inventory analysis-HTS'!D7/1000)/((1+'2-Inventory analysis-HTS'!D153)^'2-Inventory analysis-HTS'!D152))*'2-Inventory analysis-HTS'!D6/1000000</f>
        <v>0.18181847334435561</v>
      </c>
      <c r="E67" s="287" t="s">
        <v>519</v>
      </c>
      <c r="F67" s="46" t="s">
        <v>626</v>
      </c>
    </row>
    <row r="68" spans="2:17" ht="15.75" customHeight="1">
      <c r="B68" s="43" t="s">
        <v>538</v>
      </c>
      <c r="C68" s="17"/>
      <c r="D68" s="298"/>
      <c r="E68" s="287"/>
      <c r="F68" s="46"/>
    </row>
    <row r="69" spans="2:17" ht="15.75" customHeight="1">
      <c r="B69" s="27" t="s">
        <v>539</v>
      </c>
      <c r="C69" s="136" t="s">
        <v>583</v>
      </c>
      <c r="D69" s="298">
        <f>'2-Inventory analysis-HTS'!D144*'2-Inventory analysis-HTS'!D7*'2-Inventory analysis-HTS'!D6/1000/1000000</f>
        <v>51.2</v>
      </c>
      <c r="E69" s="287" t="s">
        <v>519</v>
      </c>
      <c r="F69" s="47" t="s">
        <v>627</v>
      </c>
    </row>
    <row r="70" spans="2:17" ht="15.75" customHeight="1">
      <c r="B70" s="43" t="s">
        <v>540</v>
      </c>
      <c r="C70" s="18"/>
      <c r="D70" s="298"/>
      <c r="E70" s="287"/>
      <c r="F70" s="47"/>
    </row>
    <row r="71" spans="2:17" ht="15.75" customHeight="1">
      <c r="B71" s="28" t="s">
        <v>541</v>
      </c>
      <c r="C71" s="136" t="s">
        <v>542</v>
      </c>
      <c r="D71" s="298" t="s">
        <v>568</v>
      </c>
      <c r="E71" s="287" t="s">
        <v>528</v>
      </c>
      <c r="F71" s="47" t="s">
        <v>628</v>
      </c>
    </row>
    <row r="72" spans="2:17" ht="15.75" customHeight="1">
      <c r="B72" s="28" t="s">
        <v>543</v>
      </c>
      <c r="C72" s="136" t="s">
        <v>584</v>
      </c>
      <c r="D72" s="298">
        <f>N123</f>
        <v>3.2945445799669328</v>
      </c>
      <c r="E72" s="287" t="s">
        <v>519</v>
      </c>
      <c r="F72" s="47" t="s">
        <v>611</v>
      </c>
    </row>
    <row r="73" spans="2:17" ht="15.75" customHeight="1">
      <c r="B73" s="42" t="s">
        <v>544</v>
      </c>
      <c r="C73" s="18"/>
      <c r="D73" s="298"/>
      <c r="E73" s="287"/>
      <c r="F73" s="26"/>
    </row>
    <row r="74" spans="2:17" ht="15.75" customHeight="1">
      <c r="B74" s="25" t="s">
        <v>595</v>
      </c>
      <c r="C74" s="392" t="s">
        <v>596</v>
      </c>
      <c r="D74" s="298">
        <f>D50+D51+D52+D53+D54+D55+D57+D61+D63+D65+D67+D69</f>
        <v>692.28845424054998</v>
      </c>
      <c r="E74" s="287" t="s">
        <v>519</v>
      </c>
      <c r="F74" s="29" t="s">
        <v>609</v>
      </c>
    </row>
    <row r="75" spans="2:17" ht="14.25" customHeight="1">
      <c r="B75" s="25" t="s">
        <v>594</v>
      </c>
      <c r="C75" s="392" t="s">
        <v>31</v>
      </c>
      <c r="D75" s="419">
        <f>P123</f>
        <v>659.32233737195236</v>
      </c>
      <c r="E75" s="287" t="s">
        <v>519</v>
      </c>
      <c r="F75" s="29" t="s">
        <v>612</v>
      </c>
    </row>
    <row r="76" spans="2:17" ht="14.25" customHeight="1">
      <c r="B76" s="25" t="s">
        <v>597</v>
      </c>
      <c r="C76" s="19" t="s">
        <v>546</v>
      </c>
      <c r="D76" s="298" t="s">
        <v>568</v>
      </c>
      <c r="E76" s="288" t="s">
        <v>528</v>
      </c>
      <c r="F76" s="29" t="s">
        <v>547</v>
      </c>
    </row>
    <row r="77" spans="2:17" ht="14.25" customHeight="1">
      <c r="B77" s="25" t="s">
        <v>548</v>
      </c>
      <c r="C77" s="392" t="s">
        <v>34</v>
      </c>
      <c r="D77" s="298">
        <f>O123</f>
        <v>19.052598997804115</v>
      </c>
      <c r="E77" s="287" t="s">
        <v>519</v>
      </c>
      <c r="F77" s="30" t="s">
        <v>613</v>
      </c>
    </row>
    <row r="78" spans="2:17" ht="14.25" customHeight="1" thickBot="1">
      <c r="B78" s="302" t="s">
        <v>598</v>
      </c>
      <c r="C78" s="134" t="s">
        <v>39</v>
      </c>
      <c r="D78" s="300">
        <f>D75+D77</f>
        <v>678.37493636975648</v>
      </c>
      <c r="E78" s="289" t="s">
        <v>519</v>
      </c>
      <c r="F78" s="31" t="s">
        <v>614</v>
      </c>
    </row>
    <row r="79" spans="2:17" ht="14.25" customHeight="1" thickBot="1"/>
    <row r="80" spans="2:17" ht="14.25" customHeight="1" thickBot="1">
      <c r="H80" s="32"/>
      <c r="I80" s="460" t="s">
        <v>593</v>
      </c>
      <c r="J80" s="461"/>
      <c r="K80" s="461"/>
      <c r="L80" s="462"/>
      <c r="M80" s="457" t="s">
        <v>571</v>
      </c>
      <c r="N80" s="458"/>
      <c r="O80" s="458"/>
      <c r="P80" s="459"/>
      <c r="Q80" s="32"/>
    </row>
    <row r="81" spans="6:17" ht="14.25" customHeight="1">
      <c r="H81" s="394" t="s">
        <v>550</v>
      </c>
      <c r="I81" s="410" t="s">
        <v>527</v>
      </c>
      <c r="J81" s="411" t="s">
        <v>542</v>
      </c>
      <c r="K81" s="411" t="s">
        <v>546</v>
      </c>
      <c r="L81" s="412" t="s">
        <v>596</v>
      </c>
      <c r="M81" s="407" t="s">
        <v>527</v>
      </c>
      <c r="N81" s="408" t="s">
        <v>542</v>
      </c>
      <c r="O81" s="408" t="s">
        <v>546</v>
      </c>
      <c r="P81" s="409" t="s">
        <v>31</v>
      </c>
      <c r="Q81" s="399" t="s">
        <v>26</v>
      </c>
    </row>
    <row r="82" spans="6:17" ht="14.25" customHeight="1">
      <c r="H82" s="398">
        <v>1</v>
      </c>
      <c r="I82" s="401">
        <f>((($D$27*'2-Inventory analysis-HTS'!$D$103)+$D$28+$D$29)*'2-Inventory analysis-HTS'!$D$149*'2-Inventory analysis-HTS'!$D$150*'2-Inventory analysis-HTS'!$D$6)/1000000</f>
        <v>1.6406777600351912</v>
      </c>
      <c r="J82" s="135">
        <f>(('2-Inventory analysis-HTS'!$D$134*'2-Inventory analysis-HTS'!$D$7/1000)*'2-Inventory analysis-HTS'!$D$6)/1000000</f>
        <v>0.192</v>
      </c>
      <c r="K82" s="135">
        <f>I82+J82</f>
        <v>1.8326777600351911</v>
      </c>
      <c r="L82" s="402">
        <f>D74</f>
        <v>692.28845424054998</v>
      </c>
      <c r="M82" s="401">
        <f>I82/((1+'2-Inventory analysis-HTS'!$D$153)^H82)</f>
        <v>1.562550247652563</v>
      </c>
      <c r="N82" s="135">
        <f>J82/((1+'2-Inventory analysis-HTS'!$D$153)^H82)</f>
        <v>0.18285714285714286</v>
      </c>
      <c r="O82" s="135">
        <f>(M82+N82)</f>
        <v>1.7454073905097058</v>
      </c>
      <c r="P82" s="402">
        <f>L82/(1+'2-Inventory analysis-HTS'!$D$153)</f>
        <v>659.32233737195236</v>
      </c>
      <c r="Q82" s="400" t="s">
        <v>519</v>
      </c>
    </row>
    <row r="83" spans="6:17" ht="14.25" customHeight="1">
      <c r="H83" s="398">
        <v>2</v>
      </c>
      <c r="I83" s="401">
        <f>((($D$27*'2-Inventory analysis-HTS'!$D$103)+$D$28+$D$29)*'2-Inventory analysis-HTS'!$D$149*'2-Inventory analysis-HTS'!$D$150*'2-Inventory analysis-HTS'!$D$6/((1+'2-Inventory analysis-HTS'!$D$153)^H83))/1000000</f>
        <v>1.4881430930024409</v>
      </c>
      <c r="J83" s="135">
        <f>(('2-Inventory analysis-HTS'!$D$134*'2-Inventory analysis-HTS'!$D$7/1000)*'2-Inventory analysis-HTS'!$D$6)/1000000</f>
        <v>0.192</v>
      </c>
      <c r="K83" s="135">
        <f t="shared" ref="K83:K121" si="0">I83+J83</f>
        <v>1.6801430930024408</v>
      </c>
      <c r="L83" s="402">
        <v>0</v>
      </c>
      <c r="M83" s="401">
        <f>I83/((1+'2-Inventory analysis-HTS'!$D$153)^H83)</f>
        <v>1.3497896535169531</v>
      </c>
      <c r="N83" s="135">
        <f>J83/((1+'2-Inventory analysis-HTS'!$D$153)^H83)</f>
        <v>0.17414965986394557</v>
      </c>
      <c r="O83" s="135">
        <f>(M83+N83)</f>
        <v>1.5239393133808987</v>
      </c>
      <c r="P83" s="402">
        <f>L83/(1+'2-Inventory analysis-HTS'!$D$153)</f>
        <v>0</v>
      </c>
      <c r="Q83" s="400" t="s">
        <v>519</v>
      </c>
    </row>
    <row r="84" spans="6:17" ht="14.25" customHeight="1">
      <c r="H84" s="398">
        <v>3</v>
      </c>
      <c r="I84" s="401">
        <f>((($D$27*'2-Inventory analysis-HTS'!$D$103)+$D$28+$D$29)*'2-Inventory analysis-HTS'!$D$149*'2-Inventory analysis-HTS'!$D$150*'2-Inventory analysis-HTS'!$D$6/((1+'2-Inventory analysis-HTS'!$D$153)^H84))/1000000</f>
        <v>1.4172791361928008</v>
      </c>
      <c r="J84" s="135">
        <f>(('2-Inventory analysis-HTS'!$D$134*'2-Inventory analysis-HTS'!$D$7/1000)*'2-Inventory analysis-HTS'!$D$6)/1000000</f>
        <v>0.192</v>
      </c>
      <c r="K84" s="135">
        <f t="shared" si="0"/>
        <v>1.6092791361928007</v>
      </c>
      <c r="L84" s="402">
        <v>0</v>
      </c>
      <c r="M84" s="401">
        <f>I84/((1+'2-Inventory analysis-HTS'!$D$153)^H84)</f>
        <v>1.2242990054575538</v>
      </c>
      <c r="N84" s="135">
        <f>J84/((1+'2-Inventory analysis-HTS'!$D$153)^H84)</f>
        <v>0.16585681891804338</v>
      </c>
      <c r="O84" s="135">
        <f t="shared" ref="O84:O121" si="1">(M84+N84)</f>
        <v>1.3901558243755971</v>
      </c>
      <c r="P84" s="402">
        <f>L84/(1+'2-Inventory analysis-HTS'!$D$153)</f>
        <v>0</v>
      </c>
      <c r="Q84" s="400" t="s">
        <v>519</v>
      </c>
    </row>
    <row r="85" spans="6:17" ht="14.25" customHeight="1">
      <c r="H85" s="398">
        <v>4</v>
      </c>
      <c r="I85" s="401">
        <f>((($D$27*'2-Inventory analysis-HTS'!$D$103)+$D$28+$D$29)*'2-Inventory analysis-HTS'!$D$149*'2-Inventory analysis-HTS'!$D$150*'2-Inventory analysis-HTS'!$D$6/((1+'2-Inventory analysis-HTS'!$D$153)^H85))/1000000</f>
        <v>1.3497896535169533</v>
      </c>
      <c r="J85" s="135">
        <f>(('2-Inventory analysis-HTS'!$D$134*'2-Inventory analysis-HTS'!$D$7/1000)*'2-Inventory analysis-HTS'!$D$6)/1000000</f>
        <v>0.192</v>
      </c>
      <c r="K85" s="135">
        <f t="shared" si="0"/>
        <v>1.5417896535169533</v>
      </c>
      <c r="L85" s="402">
        <v>0</v>
      </c>
      <c r="M85" s="401">
        <f>I85/((1+'2-Inventory analysis-HTS'!$D$153)^H85)</f>
        <v>1.1104752883968745</v>
      </c>
      <c r="N85" s="135">
        <f>J85/((1+'2-Inventory analysis-HTS'!$D$153)^H85)</f>
        <v>0.15795887516004134</v>
      </c>
      <c r="O85" s="135">
        <f t="shared" si="1"/>
        <v>1.2684341635569159</v>
      </c>
      <c r="P85" s="402">
        <f>L85/(1+'2-Inventory analysis-HTS'!$D$153)</f>
        <v>0</v>
      </c>
      <c r="Q85" s="400" t="s">
        <v>519</v>
      </c>
    </row>
    <row r="86" spans="6:17" ht="14.25" customHeight="1">
      <c r="H86" s="398">
        <v>5</v>
      </c>
      <c r="I86" s="401">
        <f>((($D$27*'2-Inventory analysis-HTS'!$D$103)+$D$28+$D$29)*'2-Inventory analysis-HTS'!$D$149*'2-Inventory analysis-HTS'!$D$150*'2-Inventory analysis-HTS'!$D$6/((1+'2-Inventory analysis-HTS'!$D$153)^H86))/1000000</f>
        <v>1.2855139557304316</v>
      </c>
      <c r="J86" s="135">
        <f>(('2-Inventory analysis-HTS'!$D$134*'2-Inventory analysis-HTS'!$D$7/1000)*'2-Inventory analysis-HTS'!$D$6)/1000000</f>
        <v>0.192</v>
      </c>
      <c r="K86" s="135">
        <f t="shared" si="0"/>
        <v>1.4775139557304315</v>
      </c>
      <c r="L86" s="402">
        <v>0</v>
      </c>
      <c r="M86" s="401">
        <f>I86/((1+'2-Inventory analysis-HTS'!$D$153)^H86)</f>
        <v>1.0072338216751693</v>
      </c>
      <c r="N86" s="135">
        <f>J86/((1+'2-Inventory analysis-HTS'!$D$153)^H86)</f>
        <v>0.15043702396194411</v>
      </c>
      <c r="O86" s="135">
        <f t="shared" si="1"/>
        <v>1.1576708456371134</v>
      </c>
      <c r="P86" s="402">
        <f>L86/(1+'2-Inventory analysis-HTS'!$D$153)</f>
        <v>0</v>
      </c>
      <c r="Q86" s="400" t="s">
        <v>519</v>
      </c>
    </row>
    <row r="87" spans="6:17" ht="14.25" customHeight="1">
      <c r="H87" s="398">
        <v>6</v>
      </c>
      <c r="I87" s="401">
        <f>((($D$27*'2-Inventory analysis-HTS'!$D$103)+$D$28+$D$29)*'2-Inventory analysis-HTS'!$D$149*'2-Inventory analysis-HTS'!$D$150*'2-Inventory analysis-HTS'!$D$6/((1+'2-Inventory analysis-HTS'!$D$153)^H87))/1000000</f>
        <v>1.224299005457554</v>
      </c>
      <c r="J87" s="135">
        <f>(('2-Inventory analysis-HTS'!$D$134*'2-Inventory analysis-HTS'!$D$7/1000)*'2-Inventory analysis-HTS'!$D$6)/1000000</f>
        <v>0.192</v>
      </c>
      <c r="K87" s="135">
        <f t="shared" si="0"/>
        <v>1.4162990054575539</v>
      </c>
      <c r="L87" s="402">
        <v>0</v>
      </c>
      <c r="M87" s="401">
        <f>I87/((1+'2-Inventory analysis-HTS'!$D$153)^H87)</f>
        <v>0.91359076795933747</v>
      </c>
      <c r="N87" s="135">
        <f>J87/((1+'2-Inventory analysis-HTS'!$D$153)^H87)</f>
        <v>0.14327335615423251</v>
      </c>
      <c r="O87" s="135">
        <f t="shared" si="1"/>
        <v>1.0568641241135699</v>
      </c>
      <c r="P87" s="402">
        <f>L87/(1+'2-Inventory analysis-HTS'!$D$153)</f>
        <v>0</v>
      </c>
      <c r="Q87" s="400" t="s">
        <v>519</v>
      </c>
    </row>
    <row r="88" spans="6:17" ht="14.25" customHeight="1">
      <c r="H88" s="398">
        <v>7</v>
      </c>
      <c r="I88" s="401">
        <f>((($D$27*'2-Inventory analysis-HTS'!$D$103)+$D$28+$D$29)*'2-Inventory analysis-HTS'!$D$149*'2-Inventory analysis-HTS'!$D$150*'2-Inventory analysis-HTS'!$D$6/((1+'2-Inventory analysis-HTS'!$D$153)^H88))/1000000</f>
        <v>1.1659990528167179</v>
      </c>
      <c r="J88" s="135">
        <f>(('2-Inventory analysis-HTS'!$D$134*'2-Inventory analysis-HTS'!$D$7/1000)*'2-Inventory analysis-HTS'!$D$6)/1000000</f>
        <v>0.192</v>
      </c>
      <c r="K88" s="135">
        <f t="shared" si="0"/>
        <v>1.3579990528167178</v>
      </c>
      <c r="L88" s="402">
        <v>0</v>
      </c>
      <c r="M88" s="401">
        <f>I88/((1+'2-Inventory analysis-HTS'!$D$153)^H88)</f>
        <v>0.82865375778624684</v>
      </c>
      <c r="N88" s="135">
        <f>J88/((1+'2-Inventory analysis-HTS'!$D$153)^H88)</f>
        <v>0.13645081538498333</v>
      </c>
      <c r="O88" s="135">
        <f t="shared" si="1"/>
        <v>0.96510457317123022</v>
      </c>
      <c r="P88" s="402">
        <f>L88/(1+'2-Inventory analysis-HTS'!$D$153)</f>
        <v>0</v>
      </c>
      <c r="Q88" s="400" t="s">
        <v>519</v>
      </c>
    </row>
    <row r="89" spans="6:17" ht="14.25" customHeight="1">
      <c r="H89" s="398">
        <v>8</v>
      </c>
      <c r="I89" s="401">
        <f>((($D$27*'2-Inventory analysis-HTS'!$D$103)+$D$28+$D$29)*'2-Inventory analysis-HTS'!$D$149*'2-Inventory analysis-HTS'!$D$150*'2-Inventory analysis-HTS'!$D$6/((1+'2-Inventory analysis-HTS'!$D$153)^H89))/1000000</f>
        <v>1.1104752883968743</v>
      </c>
      <c r="J89" s="135">
        <f>(('2-Inventory analysis-HTS'!$D$134*'2-Inventory analysis-HTS'!$D$7/1000)*'2-Inventory analysis-HTS'!$D$6)/1000000</f>
        <v>0.192</v>
      </c>
      <c r="K89" s="135">
        <f t="shared" si="0"/>
        <v>1.3024752883968742</v>
      </c>
      <c r="L89" s="402">
        <v>0</v>
      </c>
      <c r="M89" s="401">
        <f>I89/((1+'2-Inventory analysis-HTS'!$D$153)^H89)</f>
        <v>0.75161338574716274</v>
      </c>
      <c r="N89" s="135">
        <f>J89/((1+'2-Inventory analysis-HTS'!$D$153)^H89)</f>
        <v>0.12995315750950795</v>
      </c>
      <c r="O89" s="135">
        <f t="shared" si="1"/>
        <v>0.88156654325667072</v>
      </c>
      <c r="P89" s="402">
        <f>L89/(1+'2-Inventory analysis-HTS'!$D$153)</f>
        <v>0</v>
      </c>
      <c r="Q89" s="400" t="s">
        <v>519</v>
      </c>
    </row>
    <row r="90" spans="6:17" ht="14.25" customHeight="1">
      <c r="H90" s="398">
        <v>9</v>
      </c>
      <c r="I90" s="401">
        <f>((($D$27*'2-Inventory analysis-HTS'!$D$103)+$D$28+$D$29)*'2-Inventory analysis-HTS'!$D$149*'2-Inventory analysis-HTS'!$D$150*'2-Inventory analysis-HTS'!$D$6/((1+'2-Inventory analysis-HTS'!$D$153)^H90))/1000000</f>
        <v>1.0575955127589278</v>
      </c>
      <c r="J90" s="135">
        <f>(('2-Inventory analysis-HTS'!$D$134*'2-Inventory analysis-HTS'!$D$7/1000)*'2-Inventory analysis-HTS'!$D$6)/1000000</f>
        <v>0.192</v>
      </c>
      <c r="K90" s="135">
        <f t="shared" si="0"/>
        <v>1.2495955127589278</v>
      </c>
      <c r="L90" s="402">
        <v>0</v>
      </c>
      <c r="M90" s="401">
        <f>I90/((1+'2-Inventory analysis-HTS'!$D$153)^H90)</f>
        <v>0.68173549727633809</v>
      </c>
      <c r="N90" s="135">
        <f>J90/((1+'2-Inventory analysis-HTS'!$D$153)^H90)</f>
        <v>0.12376491191381708</v>
      </c>
      <c r="O90" s="135">
        <f t="shared" si="1"/>
        <v>0.8055004091901552</v>
      </c>
      <c r="P90" s="402">
        <f>L90/(1+'2-Inventory analysis-HTS'!$D$153)</f>
        <v>0</v>
      </c>
      <c r="Q90" s="400" t="s">
        <v>519</v>
      </c>
    </row>
    <row r="91" spans="6:17" ht="14.25" customHeight="1">
      <c r="F91" s="11"/>
      <c r="H91" s="398">
        <v>10</v>
      </c>
      <c r="I91" s="401">
        <f>((($D$27*'2-Inventory analysis-HTS'!$D$103)+$D$28+$D$29)*'2-Inventory analysis-HTS'!$D$149*'2-Inventory analysis-HTS'!$D$150*'2-Inventory analysis-HTS'!$D$6/((1+'2-Inventory analysis-HTS'!$D$153)^H91))/1000000</f>
        <v>1.0072338216751695</v>
      </c>
      <c r="J91" s="135">
        <f>(('2-Inventory analysis-HTS'!$D$134*'2-Inventory analysis-HTS'!$D$7/1000)*'2-Inventory analysis-HTS'!$D$6)/1000000</f>
        <v>0.192</v>
      </c>
      <c r="K91" s="135">
        <f t="shared" si="0"/>
        <v>1.1992338216751695</v>
      </c>
      <c r="L91" s="402">
        <v>0</v>
      </c>
      <c r="M91" s="401">
        <f>I91/((1+'2-Inventory analysis-HTS'!$D$153)^H91)</f>
        <v>0.6183541925408963</v>
      </c>
      <c r="N91" s="135">
        <f>J91/((1+'2-Inventory analysis-HTS'!$D$153)^H91)</f>
        <v>0.1178713446798258</v>
      </c>
      <c r="O91" s="135">
        <f t="shared" si="1"/>
        <v>0.73622553722072204</v>
      </c>
      <c r="P91" s="402">
        <f>L91/(1+'2-Inventory analysis-HTS'!$D$153)</f>
        <v>0</v>
      </c>
      <c r="Q91" s="400" t="s">
        <v>519</v>
      </c>
    </row>
    <row r="92" spans="6:17" ht="14.25" customHeight="1">
      <c r="H92" s="398">
        <v>11</v>
      </c>
      <c r="I92" s="401">
        <f>((($D$27*'2-Inventory analysis-HTS'!$D$103)+$D$28+$D$29)*'2-Inventory analysis-HTS'!$D$149*'2-Inventory analysis-HTS'!$D$150*'2-Inventory analysis-HTS'!$D$6/((1+'2-Inventory analysis-HTS'!$D$153)^H92))/1000000</f>
        <v>0.95927030635730415</v>
      </c>
      <c r="J92" s="135">
        <f>(('2-Inventory analysis-HTS'!$D$134*'2-Inventory analysis-HTS'!$D$7/1000)*'2-Inventory analysis-HTS'!$D$6)/1000000</f>
        <v>0.192</v>
      </c>
      <c r="K92" s="135">
        <f t="shared" si="0"/>
        <v>1.1512703063573042</v>
      </c>
      <c r="L92" s="402">
        <v>0</v>
      </c>
      <c r="M92" s="401">
        <f>I92/((1+'2-Inventory analysis-HTS'!$D$153)^H92)</f>
        <v>0.56086548076271758</v>
      </c>
      <c r="N92" s="135">
        <f>J92/((1+'2-Inventory analysis-HTS'!$D$153)^H92)</f>
        <v>0.11225842350459599</v>
      </c>
      <c r="O92" s="135">
        <f t="shared" si="1"/>
        <v>0.67312390426731361</v>
      </c>
      <c r="P92" s="402">
        <f>L92/(1+'2-Inventory analysis-HTS'!$D$153)</f>
        <v>0</v>
      </c>
      <c r="Q92" s="400" t="s">
        <v>519</v>
      </c>
    </row>
    <row r="93" spans="6:17" ht="14.25" customHeight="1">
      <c r="H93" s="398">
        <v>12</v>
      </c>
      <c r="I93" s="401">
        <f>((($D$27*'2-Inventory analysis-HTS'!$D$103)+$D$28+$D$29)*'2-Inventory analysis-HTS'!$D$149*'2-Inventory analysis-HTS'!$D$150*'2-Inventory analysis-HTS'!$D$6/((1+'2-Inventory analysis-HTS'!$D$153)^H93))/1000000</f>
        <v>0.91359076795933747</v>
      </c>
      <c r="J93" s="135">
        <f>(('2-Inventory analysis-HTS'!$D$134*'2-Inventory analysis-HTS'!$D$7/1000)*'2-Inventory analysis-HTS'!$D$6)/1000000</f>
        <v>0.192</v>
      </c>
      <c r="K93" s="135">
        <f t="shared" si="0"/>
        <v>1.1055907679593375</v>
      </c>
      <c r="L93" s="402">
        <v>0</v>
      </c>
      <c r="M93" s="401">
        <f>I93/((1+'2-Inventory analysis-HTS'!$D$153)^H93)</f>
        <v>0.50872152450133135</v>
      </c>
      <c r="N93" s="135">
        <f>J93/((1+'2-Inventory analysis-HTS'!$D$153)^H93)</f>
        <v>0.10691278429009143</v>
      </c>
      <c r="O93" s="135">
        <f t="shared" si="1"/>
        <v>0.61563430879142278</v>
      </c>
      <c r="P93" s="402">
        <f>L93/(1+'2-Inventory analysis-HTS'!$D$153)</f>
        <v>0</v>
      </c>
      <c r="Q93" s="400" t="s">
        <v>519</v>
      </c>
    </row>
    <row r="94" spans="6:17" ht="14.25" customHeight="1">
      <c r="H94" s="398">
        <v>13</v>
      </c>
      <c r="I94" s="401">
        <f>((($D$27*'2-Inventory analysis-HTS'!$D$103)+$D$28+$D$29)*'2-Inventory analysis-HTS'!$D$149*'2-Inventory analysis-HTS'!$D$150*'2-Inventory analysis-HTS'!$D$6/((1+'2-Inventory analysis-HTS'!$D$153)^H94))/1000000</f>
        <v>0.87008644567555926</v>
      </c>
      <c r="J94" s="135">
        <f>(('2-Inventory analysis-HTS'!$D$134*'2-Inventory analysis-HTS'!$D$7/1000)*'2-Inventory analysis-HTS'!$D$6)/1000000</f>
        <v>0.192</v>
      </c>
      <c r="K94" s="135">
        <f t="shared" si="0"/>
        <v>1.0620864456755592</v>
      </c>
      <c r="L94" s="402">
        <v>0</v>
      </c>
      <c r="M94" s="401">
        <f>I94/((1+'2-Inventory analysis-HTS'!$D$153)^H94)</f>
        <v>0.46142541904882639</v>
      </c>
      <c r="N94" s="135">
        <f>J94/((1+'2-Inventory analysis-HTS'!$D$153)^H94)</f>
        <v>0.10182169932389658</v>
      </c>
      <c r="O94" s="135">
        <f t="shared" si="1"/>
        <v>0.56324711837272301</v>
      </c>
      <c r="P94" s="402">
        <f>L94/(1+'2-Inventory analysis-HTS'!$D$153)</f>
        <v>0</v>
      </c>
      <c r="Q94" s="400" t="s">
        <v>519</v>
      </c>
    </row>
    <row r="95" spans="6:17" ht="14.25" customHeight="1">
      <c r="H95" s="398">
        <v>14</v>
      </c>
      <c r="I95" s="401">
        <f>((($D$27*'2-Inventory analysis-HTS'!$D$103)+$D$28+$D$29)*'2-Inventory analysis-HTS'!$D$149*'2-Inventory analysis-HTS'!$D$150*'2-Inventory analysis-HTS'!$D$6/((1+'2-Inventory analysis-HTS'!$D$153)^H95))/1000000</f>
        <v>0.82865375778624706</v>
      </c>
      <c r="J95" s="135">
        <f>(('2-Inventory analysis-HTS'!$D$134*'2-Inventory analysis-HTS'!$D$7/1000)*'2-Inventory analysis-HTS'!$D$6)/1000000</f>
        <v>0.192</v>
      </c>
      <c r="K95" s="135">
        <f t="shared" si="0"/>
        <v>1.0206537577862471</v>
      </c>
      <c r="L95" s="402">
        <v>0</v>
      </c>
      <c r="M95" s="401">
        <f>I95/((1+'2-Inventory analysis-HTS'!$D$153)^H95)</f>
        <v>0.41852645718714432</v>
      </c>
      <c r="N95" s="135">
        <f>J95/((1+'2-Inventory analysis-HTS'!$D$153)^H95)</f>
        <v>9.6973046975139629E-2</v>
      </c>
      <c r="O95" s="135">
        <f t="shared" si="1"/>
        <v>0.51549950416228396</v>
      </c>
      <c r="P95" s="402">
        <f>L95/(1+'2-Inventory analysis-HTS'!$D$153)</f>
        <v>0</v>
      </c>
      <c r="Q95" s="400" t="s">
        <v>519</v>
      </c>
    </row>
    <row r="96" spans="6:17" ht="14.25" customHeight="1">
      <c r="H96" s="398">
        <v>15</v>
      </c>
      <c r="I96" s="401">
        <f>((($D$27*'2-Inventory analysis-HTS'!$D$103)+$D$28+$D$29)*'2-Inventory analysis-HTS'!$D$149*'2-Inventory analysis-HTS'!$D$150*'2-Inventory analysis-HTS'!$D$6/((1+'2-Inventory analysis-HTS'!$D$153)^H96))/1000000</f>
        <v>0.78919405503452078</v>
      </c>
      <c r="J96" s="135">
        <f>(('2-Inventory analysis-HTS'!$D$134*'2-Inventory analysis-HTS'!$D$7/1000)*'2-Inventory analysis-HTS'!$D$6)/1000000</f>
        <v>0.192</v>
      </c>
      <c r="K96" s="135">
        <f t="shared" si="0"/>
        <v>0.98119405503452084</v>
      </c>
      <c r="L96" s="402">
        <v>0</v>
      </c>
      <c r="M96" s="401">
        <f>I96/((1+'2-Inventory analysis-HTS'!$D$153)^H96)</f>
        <v>0.3796158341833506</v>
      </c>
      <c r="N96" s="135">
        <f>J96/((1+'2-Inventory analysis-HTS'!$D$153)^H96)</f>
        <v>9.2355282833466279E-2</v>
      </c>
      <c r="O96" s="135">
        <f t="shared" si="1"/>
        <v>0.47197111701681688</v>
      </c>
      <c r="P96" s="402">
        <f>L96/(1+'2-Inventory analysis-HTS'!$D$153)</f>
        <v>0</v>
      </c>
      <c r="Q96" s="400" t="s">
        <v>519</v>
      </c>
    </row>
    <row r="97" spans="8:17" ht="14.25" customHeight="1">
      <c r="H97" s="398">
        <v>16</v>
      </c>
      <c r="I97" s="401">
        <f>((($D$27*'2-Inventory analysis-HTS'!$D$103)+$D$28+$D$29)*'2-Inventory analysis-HTS'!$D$149*'2-Inventory analysis-HTS'!$D$150*'2-Inventory analysis-HTS'!$D$6/((1+'2-Inventory analysis-HTS'!$D$153)^H97))/1000000</f>
        <v>0.75161338574716274</v>
      </c>
      <c r="J97" s="135">
        <f>(('2-Inventory analysis-HTS'!$D$134*'2-Inventory analysis-HTS'!$D$7/1000)*'2-Inventory analysis-HTS'!$D$6)/1000000</f>
        <v>0.192</v>
      </c>
      <c r="K97" s="135">
        <f t="shared" si="0"/>
        <v>0.94361338574716269</v>
      </c>
      <c r="L97" s="402">
        <v>0</v>
      </c>
      <c r="M97" s="401">
        <f>I97/((1+'2-Inventory analysis-HTS'!$D$153)^H97)</f>
        <v>0.34432275209374213</v>
      </c>
      <c r="N97" s="135">
        <f>J97/((1+'2-Inventory analysis-HTS'!$D$153)^H97)</f>
        <v>8.7957412222348846E-2</v>
      </c>
      <c r="O97" s="135">
        <f t="shared" si="1"/>
        <v>0.43228016431609095</v>
      </c>
      <c r="P97" s="402">
        <f>L97/(1+'2-Inventory analysis-HTS'!$D$153)</f>
        <v>0</v>
      </c>
      <c r="Q97" s="400" t="s">
        <v>519</v>
      </c>
    </row>
    <row r="98" spans="8:17" ht="14.25" customHeight="1">
      <c r="H98" s="398">
        <v>17</v>
      </c>
      <c r="I98" s="401">
        <f>((($D$27*'2-Inventory analysis-HTS'!$D$103)+$D$28+$D$29)*'2-Inventory analysis-HTS'!$D$149*'2-Inventory analysis-HTS'!$D$150*'2-Inventory analysis-HTS'!$D$6/((1+'2-Inventory analysis-HTS'!$D$153)^H98))/1000000</f>
        <v>0.71582227214015481</v>
      </c>
      <c r="J98" s="135">
        <f>(('2-Inventory analysis-HTS'!$D$134*'2-Inventory analysis-HTS'!$D$7/1000)*'2-Inventory analysis-HTS'!$D$6)/1000000</f>
        <v>0.192</v>
      </c>
      <c r="K98" s="135">
        <f t="shared" si="0"/>
        <v>0.90782227214015476</v>
      </c>
      <c r="L98" s="402">
        <v>0</v>
      </c>
      <c r="M98" s="401">
        <f>I98/((1+'2-Inventory analysis-HTS'!$D$153)^H98)</f>
        <v>0.31231088625282721</v>
      </c>
      <c r="N98" s="135">
        <f>J98/((1+'2-Inventory analysis-HTS'!$D$153)^H98)</f>
        <v>8.37689640212846E-2</v>
      </c>
      <c r="O98" s="135">
        <f t="shared" si="1"/>
        <v>0.3960798502741118</v>
      </c>
      <c r="P98" s="402">
        <f>L98/(1+'2-Inventory analysis-HTS'!$D$153)</f>
        <v>0</v>
      </c>
      <c r="Q98" s="400" t="s">
        <v>519</v>
      </c>
    </row>
    <row r="99" spans="8:17" ht="14.25" customHeight="1">
      <c r="H99" s="398">
        <v>18</v>
      </c>
      <c r="I99" s="401">
        <f>((($D$27*'2-Inventory analysis-HTS'!$D$103)+$D$28+$D$29)*'2-Inventory analysis-HTS'!$D$149*'2-Inventory analysis-HTS'!$D$150*'2-Inventory analysis-HTS'!$D$6/((1+'2-Inventory analysis-HTS'!$D$153)^H99))/1000000</f>
        <v>0.68173549727633809</v>
      </c>
      <c r="J99" s="135">
        <f>(('2-Inventory analysis-HTS'!$D$134*'2-Inventory analysis-HTS'!$D$7/1000)*'2-Inventory analysis-HTS'!$D$6)/1000000</f>
        <v>0.192</v>
      </c>
      <c r="K99" s="135">
        <f t="shared" si="0"/>
        <v>0.87373549727633804</v>
      </c>
      <c r="L99" s="402">
        <v>0</v>
      </c>
      <c r="M99" s="401">
        <f>I99/((1+'2-Inventory analysis-HTS'!$D$153)^H99)</f>
        <v>0.2832751802746733</v>
      </c>
      <c r="N99" s="135">
        <f>J99/((1+'2-Inventory analysis-HTS'!$D$153)^H99)</f>
        <v>7.9779965734556771E-2</v>
      </c>
      <c r="O99" s="135">
        <f t="shared" si="1"/>
        <v>0.36305514600923006</v>
      </c>
      <c r="P99" s="402">
        <f>L99/(1+'2-Inventory analysis-HTS'!$D$153)</f>
        <v>0</v>
      </c>
      <c r="Q99" s="400" t="s">
        <v>519</v>
      </c>
    </row>
    <row r="100" spans="8:17" ht="14.25" customHeight="1">
      <c r="H100" s="398">
        <v>19</v>
      </c>
      <c r="I100" s="401">
        <f>((($D$27*'2-Inventory analysis-HTS'!$D$103)+$D$28+$D$29)*'2-Inventory analysis-HTS'!$D$149*'2-Inventory analysis-HTS'!$D$150*'2-Inventory analysis-HTS'!$D$6/((1+'2-Inventory analysis-HTS'!$D$153)^H100))/1000000</f>
        <v>0.64927190216794095</v>
      </c>
      <c r="J100" s="135">
        <f>(('2-Inventory analysis-HTS'!$D$134*'2-Inventory analysis-HTS'!$D$7/1000)*'2-Inventory analysis-HTS'!$D$6)/1000000</f>
        <v>0.192</v>
      </c>
      <c r="K100" s="135">
        <f t="shared" si="0"/>
        <v>0.8412719021679409</v>
      </c>
      <c r="L100" s="402">
        <v>0</v>
      </c>
      <c r="M100" s="401">
        <f>I100/((1+'2-Inventory analysis-HTS'!$D$153)^H100)</f>
        <v>0.25693893902464693</v>
      </c>
      <c r="N100" s="135">
        <f>J100/((1+'2-Inventory analysis-HTS'!$D$153)^H100)</f>
        <v>7.5980919747196923E-2</v>
      </c>
      <c r="O100" s="135">
        <f t="shared" si="1"/>
        <v>0.33291985877184382</v>
      </c>
      <c r="P100" s="402">
        <f>L100/(1+'2-Inventory analysis-HTS'!$D$153)</f>
        <v>0</v>
      </c>
      <c r="Q100" s="400" t="s">
        <v>519</v>
      </c>
    </row>
    <row r="101" spans="8:17" ht="14.25" customHeight="1">
      <c r="H101" s="398">
        <v>20</v>
      </c>
      <c r="I101" s="401">
        <f>((($D$27*'2-Inventory analysis-HTS'!$D$103)+$D$28+$D$29)*'2-Inventory analysis-HTS'!$D$149*'2-Inventory analysis-HTS'!$D$150*'2-Inventory analysis-HTS'!$D$6/((1+'2-Inventory analysis-HTS'!$D$153)^H101))/1000000</f>
        <v>0.61835419254089607</v>
      </c>
      <c r="J101" s="135">
        <f>(('2-Inventory analysis-HTS'!$D$134*'2-Inventory analysis-HTS'!$D$7/1000)*'2-Inventory analysis-HTS'!$D$6)/1000000</f>
        <v>0.192</v>
      </c>
      <c r="K101" s="135">
        <f t="shared" si="0"/>
        <v>0.81035419254089613</v>
      </c>
      <c r="L101" s="402">
        <v>0</v>
      </c>
      <c r="M101" s="401">
        <f>I101/((1+'2-Inventory analysis-HTS'!$D$153)^H101)</f>
        <v>0.23305119185909018</v>
      </c>
      <c r="N101" s="135">
        <f>J101/((1+'2-Inventory analysis-HTS'!$D$153)^H101)</f>
        <v>7.2362780711616115E-2</v>
      </c>
      <c r="O101" s="135">
        <f t="shared" si="1"/>
        <v>0.30541397257070629</v>
      </c>
      <c r="P101" s="402">
        <f>L101/(1+'2-Inventory analysis-HTS'!$D$153)</f>
        <v>0</v>
      </c>
      <c r="Q101" s="400" t="s">
        <v>519</v>
      </c>
    </row>
    <row r="102" spans="8:17" ht="14.25" customHeight="1">
      <c r="H102" s="398">
        <v>21</v>
      </c>
      <c r="I102" s="401">
        <f>((($D$27*'2-Inventory analysis-HTS'!$D$103)+$D$28+$D$29)*'2-Inventory analysis-HTS'!$D$149*'2-Inventory analysis-HTS'!$D$150*'2-Inventory analysis-HTS'!$D$6/((1+'2-Inventory analysis-HTS'!$D$153)^H102))/1000000</f>
        <v>0.58890875480085358</v>
      </c>
      <c r="J102" s="135">
        <f>(('2-Inventory analysis-HTS'!$D$134*'2-Inventory analysis-HTS'!$D$7/1000)*'2-Inventory analysis-HTS'!$D$6)/1000000</f>
        <v>0.192</v>
      </c>
      <c r="K102" s="135">
        <f t="shared" si="0"/>
        <v>0.78090875480085353</v>
      </c>
      <c r="L102" s="402">
        <v>0</v>
      </c>
      <c r="M102" s="401">
        <f>I102/((1+'2-Inventory analysis-HTS'!$D$153)^H102)</f>
        <v>0.21138430100597755</v>
      </c>
      <c r="N102" s="135">
        <f>J102/((1+'2-Inventory analysis-HTS'!$D$153)^H102)</f>
        <v>6.8916934011062969E-2</v>
      </c>
      <c r="O102" s="135">
        <f t="shared" si="1"/>
        <v>0.28030123501704052</v>
      </c>
      <c r="P102" s="402">
        <f>L102/(1+'2-Inventory analysis-HTS'!$D$153)</f>
        <v>0</v>
      </c>
      <c r="Q102" s="400" t="s">
        <v>519</v>
      </c>
    </row>
    <row r="103" spans="8:17" ht="14.25" customHeight="1">
      <c r="H103" s="398">
        <v>22</v>
      </c>
      <c r="I103" s="401">
        <f>((($D$27*'2-Inventory analysis-HTS'!$D$103)+$D$28+$D$29)*'2-Inventory analysis-HTS'!$D$149*'2-Inventory analysis-HTS'!$D$150*'2-Inventory analysis-HTS'!$D$6/((1+'2-Inventory analysis-HTS'!$D$153)^H103))/1000000</f>
        <v>0.56086548076271769</v>
      </c>
      <c r="J103" s="135">
        <f>(('2-Inventory analysis-HTS'!$D$134*'2-Inventory analysis-HTS'!$D$7/1000)*'2-Inventory analysis-HTS'!$D$6)/1000000</f>
        <v>0.192</v>
      </c>
      <c r="K103" s="135">
        <f t="shared" si="0"/>
        <v>0.75286548076271775</v>
      </c>
      <c r="L103" s="402">
        <v>0</v>
      </c>
      <c r="M103" s="401">
        <f>I103/((1+'2-Inventory analysis-HTS'!$D$153)^H103)</f>
        <v>0.19173179229567125</v>
      </c>
      <c r="N103" s="135">
        <f>J103/((1+'2-Inventory analysis-HTS'!$D$153)^H103)</f>
        <v>6.5635175248631397E-2</v>
      </c>
      <c r="O103" s="135">
        <f t="shared" si="1"/>
        <v>0.25736696754430266</v>
      </c>
      <c r="P103" s="402">
        <f>L103/(1+'2-Inventory analysis-HTS'!$D$153)</f>
        <v>0</v>
      </c>
      <c r="Q103" s="400" t="s">
        <v>519</v>
      </c>
    </row>
    <row r="104" spans="8:17" ht="14.25" customHeight="1">
      <c r="H104" s="398">
        <v>23</v>
      </c>
      <c r="I104" s="401">
        <f>((($D$27*'2-Inventory analysis-HTS'!$D$103)+$D$28+$D$29)*'2-Inventory analysis-HTS'!$D$149*'2-Inventory analysis-HTS'!$D$150*'2-Inventory analysis-HTS'!$D$6/((1+'2-Inventory analysis-HTS'!$D$153)^H104))/1000000</f>
        <v>0.53415760072639773</v>
      </c>
      <c r="J104" s="135">
        <f>(('2-Inventory analysis-HTS'!$D$134*'2-Inventory analysis-HTS'!$D$7/1000)*'2-Inventory analysis-HTS'!$D$6)/1000000</f>
        <v>0.192</v>
      </c>
      <c r="K104" s="135">
        <f t="shared" si="0"/>
        <v>0.72615760072639768</v>
      </c>
      <c r="L104" s="402">
        <v>0</v>
      </c>
      <c r="M104" s="401">
        <f>I104/((1+'2-Inventory analysis-HTS'!$D$153)^H104)</f>
        <v>0.17390638756976978</v>
      </c>
      <c r="N104" s="135">
        <f>J104/((1+'2-Inventory analysis-HTS'!$D$153)^H104)</f>
        <v>6.2509690712982277E-2</v>
      </c>
      <c r="O104" s="135">
        <f t="shared" si="1"/>
        <v>0.23641607828275207</v>
      </c>
      <c r="P104" s="402">
        <f>L104/(1+'2-Inventory analysis-HTS'!$D$153)</f>
        <v>0</v>
      </c>
      <c r="Q104" s="400" t="s">
        <v>519</v>
      </c>
    </row>
    <row r="105" spans="8:17" ht="14.25" customHeight="1">
      <c r="H105" s="398">
        <v>24</v>
      </c>
      <c r="I105" s="401">
        <f>((($D$27*'2-Inventory analysis-HTS'!$D$103)+$D$28+$D$29)*'2-Inventory analysis-HTS'!$D$149*'2-Inventory analysis-HTS'!$D$150*'2-Inventory analysis-HTS'!$D$6/((1+'2-Inventory analysis-HTS'!$D$153)^H105))/1000000</f>
        <v>0.50872152450133123</v>
      </c>
      <c r="J105" s="135">
        <f>(('2-Inventory analysis-HTS'!$D$134*'2-Inventory analysis-HTS'!$D$7/1000)*'2-Inventory analysis-HTS'!$D$6)/1000000</f>
        <v>0.192</v>
      </c>
      <c r="K105" s="135">
        <f t="shared" si="0"/>
        <v>0.70072152450133118</v>
      </c>
      <c r="L105" s="402">
        <v>0</v>
      </c>
      <c r="M105" s="401">
        <f>I105/((1+'2-Inventory analysis-HTS'!$D$153)^H105)</f>
        <v>0.15773822001793181</v>
      </c>
      <c r="N105" s="135">
        <f>J105/((1+'2-Inventory analysis-HTS'!$D$153)^H105)</f>
        <v>5.953303877426884E-2</v>
      </c>
      <c r="O105" s="135">
        <f t="shared" si="1"/>
        <v>0.21727125879220066</v>
      </c>
      <c r="P105" s="402">
        <f>L105/(1+'2-Inventory analysis-HTS'!$D$153)</f>
        <v>0</v>
      </c>
      <c r="Q105" s="400" t="s">
        <v>519</v>
      </c>
    </row>
    <row r="106" spans="8:17" ht="14.25" customHeight="1">
      <c r="H106" s="398">
        <v>25</v>
      </c>
      <c r="I106" s="401">
        <f>((($D$27*'2-Inventory analysis-HTS'!$D$103)+$D$28+$D$29)*'2-Inventory analysis-HTS'!$D$149*'2-Inventory analysis-HTS'!$D$150*'2-Inventory analysis-HTS'!$D$6/((1+'2-Inventory analysis-HTS'!$D$153)^H106))/1000000</f>
        <v>0.48449669000126777</v>
      </c>
      <c r="J106" s="135">
        <f>(('2-Inventory analysis-HTS'!$D$134*'2-Inventory analysis-HTS'!$D$7/1000)*'2-Inventory analysis-HTS'!$D$6)/1000000</f>
        <v>0.192</v>
      </c>
      <c r="K106" s="135">
        <f t="shared" si="0"/>
        <v>0.67649669000126778</v>
      </c>
      <c r="L106" s="402">
        <v>0</v>
      </c>
      <c r="M106" s="401">
        <f>I106/((1+'2-Inventory analysis-HTS'!$D$153)^H106)</f>
        <v>0.14307321543576579</v>
      </c>
      <c r="N106" s="135">
        <f>J106/((1+'2-Inventory analysis-HTS'!$D$153)^H106)</f>
        <v>5.6698132165970326E-2</v>
      </c>
      <c r="O106" s="135">
        <f t="shared" si="1"/>
        <v>0.19977134760173612</v>
      </c>
      <c r="P106" s="402">
        <f>L106/(1+'2-Inventory analysis-HTS'!$D$153)</f>
        <v>0</v>
      </c>
      <c r="Q106" s="400" t="s">
        <v>519</v>
      </c>
    </row>
    <row r="107" spans="8:17" ht="14.25" customHeight="1">
      <c r="H107" s="398">
        <v>26</v>
      </c>
      <c r="I107" s="401">
        <f>((($D$27*'2-Inventory analysis-HTS'!$D$103)+$D$28+$D$29)*'2-Inventory analysis-HTS'!$D$149*'2-Inventory analysis-HTS'!$D$150*'2-Inventory analysis-HTS'!$D$6/((1+'2-Inventory analysis-HTS'!$D$153)^H107))/1000000</f>
        <v>0.46142541904882645</v>
      </c>
      <c r="J107" s="135">
        <f>(('2-Inventory analysis-HTS'!$D$134*'2-Inventory analysis-HTS'!$D$7/1000)*'2-Inventory analysis-HTS'!$D$6)/1000000</f>
        <v>0.192</v>
      </c>
      <c r="K107" s="135">
        <f t="shared" si="0"/>
        <v>0.65342541904882645</v>
      </c>
      <c r="L107" s="402">
        <v>0</v>
      </c>
      <c r="M107" s="401">
        <f>I107/((1+'2-Inventory analysis-HTS'!$D$153)^H107)</f>
        <v>0.12977162397801886</v>
      </c>
      <c r="N107" s="135">
        <f>J107/((1+'2-Inventory analysis-HTS'!$D$153)^H107)</f>
        <v>5.3998221110447928E-2</v>
      </c>
      <c r="O107" s="135">
        <f t="shared" si="1"/>
        <v>0.18376984508846678</v>
      </c>
      <c r="P107" s="402">
        <f>L107/(1+'2-Inventory analysis-HTS'!$D$153)</f>
        <v>0</v>
      </c>
      <c r="Q107" s="400" t="s">
        <v>519</v>
      </c>
    </row>
    <row r="108" spans="8:17" ht="14.25" customHeight="1">
      <c r="H108" s="398">
        <v>27</v>
      </c>
      <c r="I108" s="401">
        <f>((($D$27*'2-Inventory analysis-HTS'!$D$103)+$D$28+$D$29)*'2-Inventory analysis-HTS'!$D$149*'2-Inventory analysis-HTS'!$D$150*'2-Inventory analysis-HTS'!$D$6/((1+'2-Inventory analysis-HTS'!$D$153)^H108))/1000000</f>
        <v>0.43945278004650129</v>
      </c>
      <c r="J108" s="135">
        <f>(('2-Inventory analysis-HTS'!$D$134*'2-Inventory analysis-HTS'!$D$7/1000)*'2-Inventory analysis-HTS'!$D$6)/1000000</f>
        <v>0.192</v>
      </c>
      <c r="K108" s="135">
        <f t="shared" si="0"/>
        <v>0.63145278004650129</v>
      </c>
      <c r="L108" s="402">
        <v>0</v>
      </c>
      <c r="M108" s="401">
        <f>I108/((1+'2-Inventory analysis-HTS'!$D$153)^H108)</f>
        <v>0.11770668841543656</v>
      </c>
      <c r="N108" s="135">
        <f>J108/((1+'2-Inventory analysis-HTS'!$D$153)^H108)</f>
        <v>5.1426877248045642E-2</v>
      </c>
      <c r="O108" s="135">
        <f t="shared" si="1"/>
        <v>0.1691335656634822</v>
      </c>
      <c r="P108" s="402">
        <f>L108/(1+'2-Inventory analysis-HTS'!$D$153)</f>
        <v>0</v>
      </c>
      <c r="Q108" s="400" t="s">
        <v>519</v>
      </c>
    </row>
    <row r="109" spans="8:17" ht="14.25" customHeight="1">
      <c r="H109" s="398">
        <v>28</v>
      </c>
      <c r="I109" s="401">
        <f>((($D$27*'2-Inventory analysis-HTS'!$D$103)+$D$28+$D$29)*'2-Inventory analysis-HTS'!$D$149*'2-Inventory analysis-HTS'!$D$150*'2-Inventory analysis-HTS'!$D$6/((1+'2-Inventory analysis-HTS'!$D$153)^H109))/1000000</f>
        <v>0.41852645718714421</v>
      </c>
      <c r="J109" s="135">
        <f>(('2-Inventory analysis-HTS'!$D$134*'2-Inventory analysis-HTS'!$D$7/1000)*'2-Inventory analysis-HTS'!$D$6)/1000000</f>
        <v>0.192</v>
      </c>
      <c r="K109" s="135">
        <f t="shared" si="0"/>
        <v>0.61052645718714427</v>
      </c>
      <c r="L109" s="402">
        <v>0</v>
      </c>
      <c r="M109" s="401">
        <f>I109/((1+'2-Inventory analysis-HTS'!$D$153)^H109)</f>
        <v>0.10676343620447766</v>
      </c>
      <c r="N109" s="135">
        <f>J109/((1+'2-Inventory analysis-HTS'!$D$153)^H109)</f>
        <v>4.8977978331472043E-2</v>
      </c>
      <c r="O109" s="135">
        <f t="shared" si="1"/>
        <v>0.1557414145359497</v>
      </c>
      <c r="P109" s="402">
        <f>L109/(1+'2-Inventory analysis-HTS'!$D$153)</f>
        <v>0</v>
      </c>
      <c r="Q109" s="400" t="s">
        <v>519</v>
      </c>
    </row>
    <row r="110" spans="8:17" ht="14.25" customHeight="1">
      <c r="H110" s="398">
        <v>29</v>
      </c>
      <c r="I110" s="401">
        <f>((($D$27*'2-Inventory analysis-HTS'!$D$103)+$D$28+$D$29)*'2-Inventory analysis-HTS'!$D$149*'2-Inventory analysis-HTS'!$D$150*'2-Inventory analysis-HTS'!$D$6/((1+'2-Inventory analysis-HTS'!$D$153)^H110))/1000000</f>
        <v>0.39859662589251821</v>
      </c>
      <c r="J110" s="135">
        <f>(('2-Inventory analysis-HTS'!$D$134*'2-Inventory analysis-HTS'!$D$7/1000)*'2-Inventory analysis-HTS'!$D$6)/1000000</f>
        <v>0.192</v>
      </c>
      <c r="K110" s="135">
        <f t="shared" si="0"/>
        <v>0.59059662589251816</v>
      </c>
      <c r="L110" s="402">
        <v>0</v>
      </c>
      <c r="M110" s="401">
        <f>I110/((1+'2-Inventory analysis-HTS'!$D$153)^H110)</f>
        <v>9.6837583858936621E-2</v>
      </c>
      <c r="N110" s="135">
        <f>J110/((1+'2-Inventory analysis-HTS'!$D$153)^H110)</f>
        <v>4.6645693649020985E-2</v>
      </c>
      <c r="O110" s="135">
        <f t="shared" si="1"/>
        <v>0.14348327750795761</v>
      </c>
      <c r="P110" s="402">
        <f>L110/(1+'2-Inventory analysis-HTS'!$D$153)</f>
        <v>0</v>
      </c>
      <c r="Q110" s="400" t="s">
        <v>519</v>
      </c>
    </row>
    <row r="111" spans="8:17" ht="14.25" customHeight="1">
      <c r="H111" s="398">
        <v>30</v>
      </c>
      <c r="I111" s="401">
        <f>((($D$27*'2-Inventory analysis-HTS'!$D$103)+$D$28+$D$29)*'2-Inventory analysis-HTS'!$D$149*'2-Inventory analysis-HTS'!$D$150*'2-Inventory analysis-HTS'!$D$6/((1+'2-Inventory analysis-HTS'!$D$153)^H111))/1000000</f>
        <v>0.37961583418335076</v>
      </c>
      <c r="J111" s="135">
        <f>(('2-Inventory analysis-HTS'!$D$134*'2-Inventory analysis-HTS'!$D$7/1000)*'2-Inventory analysis-HTS'!$D$6)/1000000</f>
        <v>0.192</v>
      </c>
      <c r="K111" s="135">
        <f t="shared" si="0"/>
        <v>0.57161583418335082</v>
      </c>
      <c r="L111" s="402">
        <v>0</v>
      </c>
      <c r="M111" s="401">
        <f>I111/((1+'2-Inventory analysis-HTS'!$D$153)^H111)</f>
        <v>8.7834543182709002E-2</v>
      </c>
      <c r="N111" s="135">
        <f>J111/((1+'2-Inventory analysis-HTS'!$D$153)^H111)</f>
        <v>4.4424470141924764E-2</v>
      </c>
      <c r="O111" s="135">
        <f t="shared" si="1"/>
        <v>0.13225901332463377</v>
      </c>
      <c r="P111" s="402">
        <f>L111/(1+'2-Inventory analysis-HTS'!$D$153)</f>
        <v>0</v>
      </c>
      <c r="Q111" s="400" t="s">
        <v>519</v>
      </c>
    </row>
    <row r="112" spans="8:17" ht="14.25" customHeight="1">
      <c r="H112" s="398">
        <v>31</v>
      </c>
      <c r="I112" s="401">
        <f>((($D$27*'2-Inventory analysis-HTS'!$D$103)+$D$28+$D$29)*'2-Inventory analysis-HTS'!$D$149*'2-Inventory analysis-HTS'!$D$150*'2-Inventory analysis-HTS'!$D$6/((1+'2-Inventory analysis-HTS'!$D$153)^H112))/1000000</f>
        <v>0.36153888969842923</v>
      </c>
      <c r="J112" s="135">
        <f>(('2-Inventory analysis-HTS'!$D$134*'2-Inventory analysis-HTS'!$D$7/1000)*'2-Inventory analysis-HTS'!$D$6)/1000000</f>
        <v>0.192</v>
      </c>
      <c r="K112" s="135">
        <f t="shared" si="0"/>
        <v>0.55353888969842924</v>
      </c>
      <c r="L112" s="402">
        <v>0</v>
      </c>
      <c r="M112" s="401">
        <f>I112/((1+'2-Inventory analysis-HTS'!$D$153)^H112)</f>
        <v>7.9668519893613565E-2</v>
      </c>
      <c r="N112" s="135">
        <f>J112/((1+'2-Inventory analysis-HTS'!$D$153)^H112)</f>
        <v>4.2309019182785471E-2</v>
      </c>
      <c r="O112" s="135">
        <f t="shared" si="1"/>
        <v>0.12197753907639904</v>
      </c>
      <c r="P112" s="402">
        <f>L112/(1+'2-Inventory analysis-HTS'!$D$153)</f>
        <v>0</v>
      </c>
      <c r="Q112" s="400" t="s">
        <v>519</v>
      </c>
    </row>
    <row r="113" spans="8:17" ht="14.25" customHeight="1">
      <c r="H113" s="398">
        <v>32</v>
      </c>
      <c r="I113" s="401">
        <f>((($D$27*'2-Inventory analysis-HTS'!$D$103)+$D$28+$D$29)*'2-Inventory analysis-HTS'!$D$149*'2-Inventory analysis-HTS'!$D$150*'2-Inventory analysis-HTS'!$D$6/((1+'2-Inventory analysis-HTS'!$D$153)^H113))/1000000</f>
        <v>0.34432275209374213</v>
      </c>
      <c r="J113" s="135">
        <f>(('2-Inventory analysis-HTS'!$D$134*'2-Inventory analysis-HTS'!$D$7/1000)*'2-Inventory analysis-HTS'!$D$6)/1000000</f>
        <v>0.192</v>
      </c>
      <c r="K113" s="135">
        <f t="shared" si="0"/>
        <v>0.53632275209374214</v>
      </c>
      <c r="L113" s="402">
        <v>0</v>
      </c>
      <c r="M113" s="401">
        <f>I113/((1+'2-Inventory analysis-HTS'!$D$153)^H113)</f>
        <v>7.2261696048629087E-2</v>
      </c>
      <c r="N113" s="135">
        <f>J113/((1+'2-Inventory analysis-HTS'!$D$153)^H113)</f>
        <v>4.0294303983605215E-2</v>
      </c>
      <c r="O113" s="135">
        <f t="shared" si="1"/>
        <v>0.1125560000322343</v>
      </c>
      <c r="P113" s="402">
        <f>L113/(1+'2-Inventory analysis-HTS'!$D$153)</f>
        <v>0</v>
      </c>
      <c r="Q113" s="400" t="s">
        <v>519</v>
      </c>
    </row>
    <row r="114" spans="8:17" ht="14.25" customHeight="1">
      <c r="H114" s="398">
        <v>33</v>
      </c>
      <c r="I114" s="401">
        <f>((($D$27*'2-Inventory analysis-HTS'!$D$103)+$D$28+$D$29)*'2-Inventory analysis-HTS'!$D$149*'2-Inventory analysis-HTS'!$D$150*'2-Inventory analysis-HTS'!$D$6/((1+'2-Inventory analysis-HTS'!$D$153)^H114))/1000000</f>
        <v>0.32792643056546866</v>
      </c>
      <c r="J114" s="135">
        <f>(('2-Inventory analysis-HTS'!$D$134*'2-Inventory analysis-HTS'!$D$7/1000)*'2-Inventory analysis-HTS'!$D$6)/1000000</f>
        <v>0.192</v>
      </c>
      <c r="K114" s="135">
        <f t="shared" si="0"/>
        <v>0.51992643056546872</v>
      </c>
      <c r="L114" s="402">
        <v>0</v>
      </c>
      <c r="M114" s="401">
        <f>I114/((1+'2-Inventory analysis-HTS'!$D$153)^H114)</f>
        <v>6.5543488479482159E-2</v>
      </c>
      <c r="N114" s="135">
        <f>J114/((1+'2-Inventory analysis-HTS'!$D$153)^H114)</f>
        <v>3.8375527603433539E-2</v>
      </c>
      <c r="O114" s="135">
        <f t="shared" si="1"/>
        <v>0.10391901608291571</v>
      </c>
      <c r="P114" s="402">
        <f>L114/(1+'2-Inventory analysis-HTS'!$D$153)</f>
        <v>0</v>
      </c>
      <c r="Q114" s="400" t="s">
        <v>519</v>
      </c>
    </row>
    <row r="115" spans="8:17" ht="14.25" customHeight="1">
      <c r="H115" s="398">
        <v>34</v>
      </c>
      <c r="I115" s="401">
        <f>((($D$27*'2-Inventory analysis-HTS'!$D$103)+$D$28+$D$29)*'2-Inventory analysis-HTS'!$D$149*'2-Inventory analysis-HTS'!$D$150*'2-Inventory analysis-HTS'!$D$6/((1+'2-Inventory analysis-HTS'!$D$153)^H115))/1000000</f>
        <v>0.31231088625282732</v>
      </c>
      <c r="J115" s="135">
        <f>(('2-Inventory analysis-HTS'!$D$134*'2-Inventory analysis-HTS'!$D$7/1000)*'2-Inventory analysis-HTS'!$D$6)/1000000</f>
        <v>0.192</v>
      </c>
      <c r="K115" s="135">
        <f t="shared" si="0"/>
        <v>0.50431088625282738</v>
      </c>
      <c r="L115" s="402">
        <v>0</v>
      </c>
      <c r="M115" s="401">
        <f>I115/((1+'2-Inventory analysis-HTS'!$D$153)^H115)</f>
        <v>5.9449876171865909E-2</v>
      </c>
      <c r="N115" s="135">
        <f>J115/((1+'2-Inventory analysis-HTS'!$D$153)^H115)</f>
        <v>3.6548121527079563E-2</v>
      </c>
      <c r="O115" s="135">
        <f t="shared" si="1"/>
        <v>9.5997997698945473E-2</v>
      </c>
      <c r="P115" s="402">
        <f>L115/(1+'2-Inventory analysis-HTS'!$D$153)</f>
        <v>0</v>
      </c>
      <c r="Q115" s="400" t="s">
        <v>519</v>
      </c>
    </row>
    <row r="116" spans="8:17" ht="14.25" customHeight="1">
      <c r="H116" s="398">
        <v>35</v>
      </c>
      <c r="I116" s="401">
        <f>((($D$27*'2-Inventory analysis-HTS'!$D$103)+$D$28+$D$29)*'2-Inventory analysis-HTS'!$D$149*'2-Inventory analysis-HTS'!$D$150*'2-Inventory analysis-HTS'!$D$6/((1+'2-Inventory analysis-HTS'!$D$153)^H116))/1000000</f>
        <v>0.29743893928840692</v>
      </c>
      <c r="J116" s="135">
        <f>(('2-Inventory analysis-HTS'!$D$134*'2-Inventory analysis-HTS'!$D$7/1000)*'2-Inventory analysis-HTS'!$D$6)/1000000</f>
        <v>0.192</v>
      </c>
      <c r="K116" s="135">
        <f t="shared" si="0"/>
        <v>0.48943893928840693</v>
      </c>
      <c r="L116" s="402">
        <v>0</v>
      </c>
      <c r="M116" s="401">
        <f>I116/((1+'2-Inventory analysis-HTS'!$D$153)^H116)</f>
        <v>5.3922790178563162E-2</v>
      </c>
      <c r="N116" s="135">
        <f>J116/((1+'2-Inventory analysis-HTS'!$D$153)^H116)</f>
        <v>3.4807734787694812E-2</v>
      </c>
      <c r="O116" s="135">
        <f t="shared" si="1"/>
        <v>8.8730524966257968E-2</v>
      </c>
      <c r="P116" s="402">
        <f>L116/(1+'2-Inventory analysis-HTS'!$D$153)</f>
        <v>0</v>
      </c>
      <c r="Q116" s="400" t="s">
        <v>519</v>
      </c>
    </row>
    <row r="117" spans="8:17" ht="14.25" customHeight="1">
      <c r="H117" s="398">
        <v>36</v>
      </c>
      <c r="I117" s="401">
        <f>((($D$27*'2-Inventory analysis-HTS'!$D$103)+$D$28+$D$29)*'2-Inventory analysis-HTS'!$D$149*'2-Inventory analysis-HTS'!$D$150*'2-Inventory analysis-HTS'!$D$6/((1+'2-Inventory analysis-HTS'!$D$153)^H117))/1000000</f>
        <v>0.2832751802746733</v>
      </c>
      <c r="J117" s="135">
        <f>(('2-Inventory analysis-HTS'!$D$134*'2-Inventory analysis-HTS'!$D$7/1000)*'2-Inventory analysis-HTS'!$D$6)/1000000</f>
        <v>0.192</v>
      </c>
      <c r="K117" s="135">
        <f t="shared" si="0"/>
        <v>0.4752751802746733</v>
      </c>
      <c r="L117" s="402">
        <v>0</v>
      </c>
      <c r="M117" s="401">
        <f>I117/((1+'2-Inventory analysis-HTS'!$D$153)^H117)</f>
        <v>4.8909560252665012E-2</v>
      </c>
      <c r="N117" s="135">
        <f>J117/((1+'2-Inventory analysis-HTS'!$D$153)^H117)</f>
        <v>3.3150223607328402E-2</v>
      </c>
      <c r="O117" s="135">
        <f t="shared" si="1"/>
        <v>8.2059783859993407E-2</v>
      </c>
      <c r="P117" s="402">
        <f>L117/(1+'2-Inventory analysis-HTS'!$D$153)</f>
        <v>0</v>
      </c>
      <c r="Q117" s="400" t="s">
        <v>519</v>
      </c>
    </row>
    <row r="118" spans="8:17" ht="14.25" customHeight="1">
      <c r="H118" s="398">
        <v>37</v>
      </c>
      <c r="I118" s="401">
        <f>((($D$27*'2-Inventory analysis-HTS'!$D$103)+$D$28+$D$29)*'2-Inventory analysis-HTS'!$D$149*'2-Inventory analysis-HTS'!$D$150*'2-Inventory analysis-HTS'!$D$6/((1+'2-Inventory analysis-HTS'!$D$153)^H118))/1000000</f>
        <v>0.26978588597587932</v>
      </c>
      <c r="J118" s="135">
        <f>(('2-Inventory analysis-HTS'!$D$134*'2-Inventory analysis-HTS'!$D$7/1000)*'2-Inventory analysis-HTS'!$D$6)/1000000</f>
        <v>0.192</v>
      </c>
      <c r="K118" s="135">
        <f t="shared" si="0"/>
        <v>0.46178588597587933</v>
      </c>
      <c r="L118" s="402">
        <v>0</v>
      </c>
      <c r="M118" s="401">
        <f>I118/((1+'2-Inventory analysis-HTS'!$D$153)^H118)</f>
        <v>4.4362412927587309E-2</v>
      </c>
      <c r="N118" s="135">
        <f>J118/((1+'2-Inventory analysis-HTS'!$D$153)^H118)</f>
        <v>3.1571641530788952E-2</v>
      </c>
      <c r="O118" s="135">
        <f t="shared" si="1"/>
        <v>7.5934054458376254E-2</v>
      </c>
      <c r="P118" s="402">
        <f>L118/(1+'2-Inventory analysis-HTS'!$D$153)</f>
        <v>0</v>
      </c>
      <c r="Q118" s="400" t="s">
        <v>519</v>
      </c>
    </row>
    <row r="119" spans="8:17" ht="14.25" customHeight="1">
      <c r="H119" s="398">
        <v>38</v>
      </c>
      <c r="I119" s="401">
        <f>((($D$27*'2-Inventory analysis-HTS'!$D$103)+$D$28+$D$29)*'2-Inventory analysis-HTS'!$D$149*'2-Inventory analysis-HTS'!$D$150*'2-Inventory analysis-HTS'!$D$6/((1+'2-Inventory analysis-HTS'!$D$153)^H119))/1000000</f>
        <v>0.25693893902464698</v>
      </c>
      <c r="J119" s="135">
        <f>(('2-Inventory analysis-HTS'!$D$134*'2-Inventory analysis-HTS'!$D$7/1000)*'2-Inventory analysis-HTS'!$D$6)/1000000</f>
        <v>0.192</v>
      </c>
      <c r="K119" s="135">
        <f t="shared" si="0"/>
        <v>0.44893893902464699</v>
      </c>
      <c r="L119" s="402">
        <v>0</v>
      </c>
      <c r="M119" s="401">
        <f>I119/((1+'2-Inventory analysis-HTS'!$D$153)^H119)</f>
        <v>4.0238016260850176E-2</v>
      </c>
      <c r="N119" s="135">
        <f>J119/((1+'2-Inventory analysis-HTS'!$D$153)^H119)</f>
        <v>3.0068230029322813E-2</v>
      </c>
      <c r="O119" s="135">
        <f t="shared" si="1"/>
        <v>7.0306246290172986E-2</v>
      </c>
      <c r="P119" s="402">
        <f>L119/(1+'2-Inventory analysis-HTS'!$D$153)</f>
        <v>0</v>
      </c>
      <c r="Q119" s="400" t="s">
        <v>519</v>
      </c>
    </row>
    <row r="120" spans="8:17" ht="14.25" customHeight="1">
      <c r="H120" s="398">
        <v>39</v>
      </c>
      <c r="I120" s="401">
        <f>((($D$27*'2-Inventory analysis-HTS'!$D$103)+$D$28+$D$29)*'2-Inventory analysis-HTS'!$D$149*'2-Inventory analysis-HTS'!$D$150*'2-Inventory analysis-HTS'!$D$6/((1+'2-Inventory analysis-HTS'!$D$153)^H120))/1000000</f>
        <v>0.2447037514520447</v>
      </c>
      <c r="J120" s="135">
        <f>(('2-Inventory analysis-HTS'!$D$134*'2-Inventory analysis-HTS'!$D$7/1000)*'2-Inventory analysis-HTS'!$D$6)/1000000</f>
        <v>0.192</v>
      </c>
      <c r="K120" s="135">
        <f t="shared" si="0"/>
        <v>0.43670375145204471</v>
      </c>
      <c r="L120" s="402">
        <v>0</v>
      </c>
      <c r="M120" s="401">
        <f>I120/((1+'2-Inventory analysis-HTS'!$D$153)^H120)</f>
        <v>3.649706690326545E-2</v>
      </c>
      <c r="N120" s="135">
        <f>J120/((1+'2-Inventory analysis-HTS'!$D$153)^H120)</f>
        <v>2.8636409551736006E-2</v>
      </c>
      <c r="O120" s="135">
        <f t="shared" si="1"/>
        <v>6.5133476455001449E-2</v>
      </c>
      <c r="P120" s="402">
        <f>L120/(1+'2-Inventory analysis-HTS'!$D$153)</f>
        <v>0</v>
      </c>
      <c r="Q120" s="400" t="s">
        <v>519</v>
      </c>
    </row>
    <row r="121" spans="8:17" ht="14.25" customHeight="1">
      <c r="H121" s="398">
        <v>40</v>
      </c>
      <c r="I121" s="401">
        <f>((($D$27*'2-Inventory analysis-HTS'!$D$103)+$D$28+$D$29)*'2-Inventory analysis-HTS'!$D$149*'2-Inventory analysis-HTS'!$D$150*'2-Inventory analysis-HTS'!$D$6/((1+'2-Inventory analysis-HTS'!$D$153)^H121))/1000000</f>
        <v>0.23305119185909023</v>
      </c>
      <c r="J121" s="135">
        <f>(('2-Inventory analysis-HTS'!$D$134*'2-Inventory analysis-HTS'!$D$7/1000)*'2-Inventory analysis-HTS'!$D$6)/1000000</f>
        <v>0.192</v>
      </c>
      <c r="K121" s="135">
        <f t="shared" si="0"/>
        <v>0.42505119185909024</v>
      </c>
      <c r="L121" s="402">
        <v>0</v>
      </c>
      <c r="M121" s="401">
        <f>I121/((1+'2-Inventory analysis-HTS'!$D$153)^H121)</f>
        <v>3.3103915558517424E-2</v>
      </c>
      <c r="N121" s="135">
        <f>J121/((1+'2-Inventory analysis-HTS'!$D$153)^H121)</f>
        <v>2.7272771001653345E-2</v>
      </c>
      <c r="O121" s="135">
        <f t="shared" si="1"/>
        <v>6.037668656017077E-2</v>
      </c>
      <c r="P121" s="402">
        <f>L121/(1+'2-Inventory analysis-HTS'!$D$153)</f>
        <v>0</v>
      </c>
      <c r="Q121" s="400" t="s">
        <v>519</v>
      </c>
    </row>
    <row r="122" spans="8:17" ht="14.25" customHeight="1" thickBot="1">
      <c r="H122" s="51"/>
      <c r="I122" s="403" t="s">
        <v>578</v>
      </c>
      <c r="J122" s="404" t="s">
        <v>584</v>
      </c>
      <c r="K122" s="404" t="s">
        <v>34</v>
      </c>
      <c r="L122" s="404" t="s">
        <v>31</v>
      </c>
      <c r="M122" s="407" t="s">
        <v>578</v>
      </c>
      <c r="N122" s="408" t="s">
        <v>584</v>
      </c>
      <c r="O122" s="408" t="s">
        <v>34</v>
      </c>
      <c r="P122" s="409" t="s">
        <v>31</v>
      </c>
      <c r="Q122" s="397"/>
    </row>
    <row r="123" spans="8:17" ht="14.25" customHeight="1" thickBot="1">
      <c r="H123" s="406" t="s">
        <v>551</v>
      </c>
      <c r="I123" s="413">
        <f t="shared" ref="I123:N123" si="2">SUM(I82:I121)</f>
        <v>28.230658875904648</v>
      </c>
      <c r="J123" s="414">
        <f t="shared" si="2"/>
        <v>7.6800000000000042</v>
      </c>
      <c r="K123" s="414">
        <f t="shared" si="2"/>
        <v>35.910658875904637</v>
      </c>
      <c r="L123" s="415">
        <f t="shared" si="2"/>
        <v>692.28845424054998</v>
      </c>
      <c r="M123" s="416">
        <f t="shared" si="2"/>
        <v>15.758054417837183</v>
      </c>
      <c r="N123" s="414">
        <f t="shared" si="2"/>
        <v>3.2945445799669328</v>
      </c>
      <c r="O123" s="417">
        <f>M123+N123</f>
        <v>19.052598997804115</v>
      </c>
      <c r="P123" s="418">
        <f>SUM(P82:P121)</f>
        <v>659.32233737195236</v>
      </c>
      <c r="Q123" s="405" t="s">
        <v>519</v>
      </c>
    </row>
    <row r="124" spans="8:17" ht="14.25" customHeight="1"/>
    <row r="125" spans="8:17" ht="14.25" customHeight="1"/>
    <row r="126" spans="8:17" ht="14.25" customHeight="1"/>
    <row r="127" spans="8:17" ht="14.25" customHeight="1"/>
    <row r="128" spans="8:17" ht="14.25" customHeight="1"/>
    <row r="129" ht="14.25" customHeight="1"/>
    <row r="130" ht="13.9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</sheetData>
  <mergeCells count="5">
    <mergeCell ref="B3:E3"/>
    <mergeCell ref="B4:F4"/>
    <mergeCell ref="B47:F47"/>
    <mergeCell ref="I80:L80"/>
    <mergeCell ref="M80:P80"/>
  </mergeCells>
  <pageMargins left="0.7" right="0.7" top="0.75" bottom="0.7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1001"/>
  <sheetViews>
    <sheetView workbookViewId="0">
      <selection activeCell="F6" sqref="F6"/>
    </sheetView>
  </sheetViews>
  <sheetFormatPr defaultColWidth="14.44140625" defaultRowHeight="15" customHeight="1"/>
  <cols>
    <col min="1" max="1" width="8.88671875" customWidth="1"/>
    <col min="2" max="2" width="109" customWidth="1"/>
    <col min="3" max="9" width="11.109375" customWidth="1"/>
    <col min="10" max="10" width="4.44140625" customWidth="1"/>
    <col min="11" max="15" width="8.88671875" customWidth="1"/>
    <col min="16" max="16" width="13.44140625" customWidth="1"/>
    <col min="17" max="17" width="15.109375" customWidth="1"/>
    <col min="18" max="18" width="17.33203125" customWidth="1"/>
    <col min="19" max="19" width="8.88671875" customWidth="1"/>
    <col min="20" max="20" width="17" customWidth="1"/>
    <col min="21" max="21" width="14" customWidth="1"/>
    <col min="22" max="22" width="16.44140625" customWidth="1"/>
    <col min="23" max="28" width="8.88671875" customWidth="1"/>
  </cols>
  <sheetData>
    <row r="1" spans="2:24" ht="14.25" customHeight="1">
      <c r="B1" s="1" t="s">
        <v>0</v>
      </c>
      <c r="C1" s="1"/>
      <c r="D1" s="1"/>
      <c r="E1" s="1"/>
      <c r="F1" s="1"/>
      <c r="G1" s="1"/>
      <c r="H1" s="1"/>
    </row>
    <row r="2" spans="2:24" ht="14.25" customHeight="1">
      <c r="B2" s="1" t="s">
        <v>552</v>
      </c>
      <c r="C2" s="1"/>
      <c r="D2" s="1"/>
      <c r="E2" s="1"/>
      <c r="F2" s="1"/>
      <c r="G2" s="1"/>
      <c r="H2" s="1"/>
    </row>
    <row r="3" spans="2:24" ht="14.25" customHeight="1">
      <c r="B3" s="463"/>
      <c r="C3" s="464"/>
      <c r="D3" s="464"/>
      <c r="E3" s="464"/>
      <c r="F3" s="464"/>
      <c r="G3" s="464"/>
      <c r="H3" s="464"/>
      <c r="I3" s="464"/>
      <c r="J3" s="464"/>
      <c r="O3" s="2"/>
      <c r="T3" s="3"/>
      <c r="U3" s="3"/>
      <c r="X3" s="3"/>
    </row>
    <row r="4" spans="2:24" ht="14.25" customHeight="1" thickBot="1">
      <c r="B4" s="12" t="s">
        <v>553</v>
      </c>
      <c r="C4" s="12"/>
      <c r="D4" s="12"/>
      <c r="E4" s="12"/>
      <c r="F4" s="12"/>
      <c r="G4" s="12"/>
      <c r="H4" s="12"/>
      <c r="I4" s="12"/>
      <c r="Q4" s="3"/>
      <c r="R4" s="3"/>
    </row>
    <row r="5" spans="2:24" ht="14.25" customHeight="1">
      <c r="B5" s="333" t="s">
        <v>554</v>
      </c>
      <c r="C5" s="465" t="s">
        <v>555</v>
      </c>
      <c r="D5" s="466"/>
      <c r="E5" s="467"/>
      <c r="F5" s="468" t="s">
        <v>631</v>
      </c>
      <c r="G5" s="466"/>
      <c r="H5" s="467"/>
      <c r="I5" s="334" t="s">
        <v>26</v>
      </c>
      <c r="Q5" s="3"/>
      <c r="R5" s="3"/>
    </row>
    <row r="6" spans="2:24" ht="14.25" customHeight="1" thickBot="1">
      <c r="B6" s="335"/>
      <c r="C6" s="324" t="s">
        <v>39</v>
      </c>
      <c r="D6" s="325" t="s">
        <v>545</v>
      </c>
      <c r="E6" s="326" t="s">
        <v>549</v>
      </c>
      <c r="F6" s="324" t="s">
        <v>39</v>
      </c>
      <c r="G6" s="325" t="s">
        <v>545</v>
      </c>
      <c r="H6" s="326" t="s">
        <v>549</v>
      </c>
      <c r="I6" s="336"/>
      <c r="Q6" s="3"/>
      <c r="R6" s="3"/>
    </row>
    <row r="7" spans="2:24" ht="14.25" customHeight="1" thickBot="1">
      <c r="B7" s="337" t="s">
        <v>556</v>
      </c>
      <c r="C7" s="327"/>
      <c r="D7" s="328"/>
      <c r="E7" s="329"/>
      <c r="F7" s="327"/>
      <c r="G7" s="328"/>
      <c r="H7" s="329"/>
      <c r="I7" s="338" t="s">
        <v>519</v>
      </c>
      <c r="Q7" s="3"/>
      <c r="R7" s="3"/>
    </row>
    <row r="8" spans="2:24" ht="14.25" customHeight="1" thickBot="1">
      <c r="B8" s="339" t="s">
        <v>557</v>
      </c>
      <c r="C8" s="330"/>
      <c r="D8" s="331"/>
      <c r="E8" s="332"/>
      <c r="F8" s="330"/>
      <c r="G8" s="331"/>
      <c r="H8" s="332"/>
      <c r="I8" s="340" t="s">
        <v>519</v>
      </c>
      <c r="Q8" s="3"/>
      <c r="R8" s="3"/>
    </row>
    <row r="9" spans="2:24" ht="14.25" customHeight="1" thickBot="1">
      <c r="B9" s="339" t="s">
        <v>558</v>
      </c>
      <c r="C9" s="330"/>
      <c r="D9" s="331"/>
      <c r="E9" s="332"/>
      <c r="F9" s="330"/>
      <c r="G9" s="331"/>
      <c r="H9" s="332"/>
      <c r="I9" s="340" t="s">
        <v>519</v>
      </c>
      <c r="Q9" s="3"/>
      <c r="R9" s="3"/>
    </row>
    <row r="10" spans="2:24" ht="14.25" customHeight="1" thickBot="1">
      <c r="B10" s="339" t="s">
        <v>559</v>
      </c>
      <c r="C10" s="330"/>
      <c r="D10" s="331"/>
      <c r="E10" s="332"/>
      <c r="F10" s="330"/>
      <c r="G10" s="331"/>
      <c r="H10" s="332"/>
      <c r="I10" s="340" t="s">
        <v>519</v>
      </c>
      <c r="Q10" s="3"/>
      <c r="R10" s="3"/>
    </row>
    <row r="11" spans="2:24" ht="14.25" customHeight="1" thickBot="1">
      <c r="B11" s="339" t="s">
        <v>560</v>
      </c>
      <c r="C11" s="330"/>
      <c r="D11" s="331"/>
      <c r="E11" s="332"/>
      <c r="F11" s="330"/>
      <c r="G11" s="331"/>
      <c r="H11" s="332"/>
      <c r="I11" s="340" t="s">
        <v>519</v>
      </c>
      <c r="Q11" s="3"/>
      <c r="R11" s="3"/>
    </row>
    <row r="12" spans="2:24" ht="14.25" customHeight="1" thickBot="1">
      <c r="B12" s="339" t="s">
        <v>561</v>
      </c>
      <c r="C12" s="330"/>
      <c r="D12" s="331"/>
      <c r="E12" s="332"/>
      <c r="F12" s="330"/>
      <c r="G12" s="331"/>
      <c r="H12" s="332"/>
      <c r="I12" s="340" t="s">
        <v>519</v>
      </c>
      <c r="Q12" s="3"/>
      <c r="R12" s="3"/>
    </row>
    <row r="13" spans="2:24" ht="14.25" customHeight="1" thickBot="1">
      <c r="B13" s="339" t="s">
        <v>569</v>
      </c>
      <c r="C13" s="330"/>
      <c r="D13" s="331"/>
      <c r="E13" s="332"/>
      <c r="F13" s="330"/>
      <c r="G13" s="331"/>
      <c r="H13" s="332"/>
      <c r="I13" s="340" t="s">
        <v>519</v>
      </c>
      <c r="Q13" s="3"/>
      <c r="R13" s="3"/>
    </row>
    <row r="14" spans="2:24" ht="14.25" customHeight="1" thickBot="1">
      <c r="B14" s="339" t="s">
        <v>562</v>
      </c>
      <c r="C14" s="330"/>
      <c r="D14" s="331"/>
      <c r="E14" s="332"/>
      <c r="F14" s="330"/>
      <c r="G14" s="331"/>
      <c r="H14" s="332"/>
      <c r="I14" s="340" t="s">
        <v>519</v>
      </c>
      <c r="Q14" s="3"/>
      <c r="R14" s="3"/>
    </row>
    <row r="15" spans="2:24" ht="14.25" customHeight="1" thickBot="1">
      <c r="B15" s="378" t="s">
        <v>563</v>
      </c>
      <c r="C15" s="330"/>
      <c r="D15" s="331"/>
      <c r="E15" s="332"/>
      <c r="F15" s="330"/>
      <c r="G15" s="331"/>
      <c r="H15" s="332"/>
      <c r="I15" s="340" t="s">
        <v>519</v>
      </c>
      <c r="Q15" s="3"/>
      <c r="R15" s="3"/>
    </row>
    <row r="16" spans="2:24" ht="14.25" customHeight="1">
      <c r="Q16" s="3"/>
      <c r="R16" s="3"/>
    </row>
    <row r="17" spans="17:18" ht="14.25" customHeight="1">
      <c r="Q17" s="3"/>
      <c r="R17" s="3"/>
    </row>
    <row r="18" spans="17:18" ht="14.25" customHeight="1">
      <c r="Q18" s="3"/>
      <c r="R18" s="3"/>
    </row>
    <row r="19" spans="17:18" ht="14.25" customHeight="1">
      <c r="Q19" s="3"/>
      <c r="R19" s="3"/>
    </row>
    <row r="20" spans="17:18" ht="14.25" customHeight="1">
      <c r="Q20" s="3"/>
      <c r="R20" s="3"/>
    </row>
    <row r="21" spans="17:18" ht="14.25" customHeight="1">
      <c r="Q21" s="3"/>
      <c r="R21" s="3"/>
    </row>
    <row r="22" spans="17:18" ht="14.25" customHeight="1">
      <c r="Q22" s="3"/>
      <c r="R22" s="3"/>
    </row>
    <row r="23" spans="17:18" ht="14.25" customHeight="1">
      <c r="Q23" s="3"/>
      <c r="R23" s="3"/>
    </row>
    <row r="24" spans="17:18" ht="14.25" customHeight="1">
      <c r="Q24" s="3"/>
      <c r="R24" s="3"/>
    </row>
    <row r="25" spans="17:18" ht="14.25" customHeight="1">
      <c r="Q25" s="3"/>
      <c r="R25" s="3"/>
    </row>
    <row r="26" spans="17:18" ht="14.25" customHeight="1">
      <c r="Q26" s="3"/>
      <c r="R26" s="3"/>
    </row>
    <row r="27" spans="17:18" ht="14.25" customHeight="1">
      <c r="Q27" s="3"/>
      <c r="R27" s="3"/>
    </row>
    <row r="28" spans="17:18" ht="14.25" customHeight="1">
      <c r="Q28" s="3"/>
      <c r="R28" s="3"/>
    </row>
    <row r="29" spans="17:18" ht="14.25" customHeight="1">
      <c r="Q29" s="3"/>
      <c r="R29" s="3"/>
    </row>
    <row r="30" spans="17:18" ht="14.25" customHeight="1">
      <c r="Q30" s="3"/>
      <c r="R30" s="3"/>
    </row>
    <row r="31" spans="17:18" ht="14.25" customHeight="1">
      <c r="Q31" s="3"/>
      <c r="R31" s="10"/>
    </row>
    <row r="32" spans="17:18" ht="14.25" customHeight="1">
      <c r="Q32" s="3"/>
      <c r="R32" s="10"/>
    </row>
    <row r="33" spans="17:21" ht="14.25" customHeight="1">
      <c r="Q33" s="3"/>
      <c r="R33" s="3"/>
      <c r="U33" s="3"/>
    </row>
    <row r="34" spans="17:21" ht="14.25" customHeight="1">
      <c r="Q34" s="3"/>
      <c r="R34" s="3"/>
      <c r="U34" s="3"/>
    </row>
    <row r="35" spans="17:21" ht="14.25" customHeight="1">
      <c r="Q35" s="3"/>
      <c r="R35" s="3"/>
      <c r="U35" s="3"/>
    </row>
    <row r="36" spans="17:21" ht="14.25" customHeight="1">
      <c r="Q36" s="3"/>
      <c r="R36" s="3"/>
      <c r="U36" s="3"/>
    </row>
    <row r="37" spans="17:21" ht="14.25" customHeight="1">
      <c r="Q37" s="3"/>
      <c r="R37" s="3"/>
      <c r="U37" s="3"/>
    </row>
    <row r="38" spans="17:21" ht="14.25" customHeight="1">
      <c r="Q38" s="3"/>
      <c r="R38" s="3"/>
      <c r="U38" s="3"/>
    </row>
    <row r="39" spans="17:21" ht="14.25" customHeight="1">
      <c r="Q39" s="3"/>
      <c r="R39" s="3"/>
      <c r="U39" s="3"/>
    </row>
    <row r="40" spans="17:21" ht="14.25" customHeight="1">
      <c r="Q40" s="3"/>
      <c r="R40" s="3"/>
      <c r="U40" s="3"/>
    </row>
    <row r="41" spans="17:21" ht="14.25" customHeight="1">
      <c r="Q41" s="3"/>
      <c r="R41" s="3"/>
      <c r="U41" s="3"/>
    </row>
    <row r="42" spans="17:21" ht="14.25" customHeight="1">
      <c r="Q42" s="3"/>
      <c r="R42" s="3"/>
      <c r="U42" s="3"/>
    </row>
    <row r="43" spans="17:21" ht="14.25" customHeight="1">
      <c r="Q43" s="3"/>
      <c r="R43" s="3"/>
      <c r="U43" s="3"/>
    </row>
    <row r="44" spans="17:21" ht="14.25" customHeight="1">
      <c r="Q44" s="3"/>
      <c r="R44" s="3"/>
      <c r="U44" s="3"/>
    </row>
    <row r="45" spans="17:21" ht="14.25" customHeight="1">
      <c r="Q45" s="3"/>
      <c r="R45" s="3"/>
      <c r="U45" s="3"/>
    </row>
    <row r="46" spans="17:21" ht="14.25" customHeight="1">
      <c r="Q46" s="3"/>
      <c r="R46" s="3"/>
      <c r="U46" s="3"/>
    </row>
    <row r="47" spans="17:21" ht="14.25" customHeight="1">
      <c r="Q47" s="3"/>
      <c r="R47" s="3"/>
      <c r="U47" s="3"/>
    </row>
    <row r="48" spans="17:21" ht="14.25" customHeight="1">
      <c r="Q48" s="3"/>
      <c r="R48" s="3"/>
      <c r="U48" s="3"/>
    </row>
    <row r="49" spans="17:21" ht="14.25" customHeight="1">
      <c r="Q49" s="3"/>
      <c r="R49" s="3"/>
      <c r="U49" s="3"/>
    </row>
    <row r="50" spans="17:21" ht="14.25" customHeight="1">
      <c r="Q50" s="3"/>
      <c r="R50" s="3"/>
      <c r="U50" s="3"/>
    </row>
    <row r="51" spans="17:21" ht="14.25" customHeight="1">
      <c r="Q51" s="3"/>
      <c r="R51" s="3"/>
      <c r="U51" s="3"/>
    </row>
    <row r="52" spans="17:21" ht="14.25" customHeight="1">
      <c r="Q52" s="3"/>
      <c r="R52" s="3"/>
      <c r="U52" s="3"/>
    </row>
    <row r="53" spans="17:21" ht="14.25" customHeight="1">
      <c r="Q53" s="3"/>
      <c r="R53" s="3"/>
      <c r="U53" s="3"/>
    </row>
    <row r="54" spans="17:21" ht="14.25" customHeight="1">
      <c r="Q54" s="3"/>
      <c r="R54" s="3"/>
      <c r="U54" s="3"/>
    </row>
    <row r="55" spans="17:21" ht="14.25" customHeight="1">
      <c r="Q55" s="3"/>
      <c r="R55" s="3"/>
      <c r="U55" s="3"/>
    </row>
    <row r="56" spans="17:21" ht="14.25" customHeight="1">
      <c r="Q56" s="3"/>
      <c r="R56" s="3"/>
      <c r="U56" s="3"/>
    </row>
    <row r="57" spans="17:21" ht="14.25" customHeight="1">
      <c r="Q57" s="3"/>
      <c r="R57" s="3"/>
      <c r="U57" s="3"/>
    </row>
    <row r="58" spans="17:21" ht="14.25" customHeight="1">
      <c r="Q58" s="3"/>
      <c r="R58" s="3"/>
      <c r="U58" s="3"/>
    </row>
    <row r="59" spans="17:21" ht="14.25" customHeight="1">
      <c r="Q59" s="3"/>
      <c r="R59" s="3"/>
      <c r="U59" s="3"/>
    </row>
    <row r="60" spans="17:21" ht="14.25" customHeight="1">
      <c r="Q60" s="3"/>
      <c r="R60" s="3"/>
      <c r="U60" s="3"/>
    </row>
    <row r="61" spans="17:21" ht="14.25" customHeight="1">
      <c r="Q61" s="3"/>
      <c r="R61" s="3"/>
      <c r="U61" s="3"/>
    </row>
    <row r="62" spans="17:21" ht="14.25" customHeight="1">
      <c r="Q62" s="3"/>
      <c r="R62" s="3"/>
      <c r="U62" s="3"/>
    </row>
    <row r="63" spans="17:21" ht="14.25" customHeight="1">
      <c r="Q63" s="3"/>
      <c r="R63" s="3"/>
      <c r="U63" s="3"/>
    </row>
    <row r="64" spans="17:21" ht="14.25" customHeight="1">
      <c r="Q64" s="3"/>
      <c r="R64" s="3"/>
      <c r="U64" s="3"/>
    </row>
    <row r="65" spans="17:21" ht="14.25" customHeight="1">
      <c r="Q65" s="3"/>
      <c r="R65" s="3"/>
      <c r="U65" s="3"/>
    </row>
    <row r="66" spans="17:21" ht="14.25" customHeight="1">
      <c r="Q66" s="3"/>
      <c r="R66" s="3"/>
      <c r="U66" s="3"/>
    </row>
    <row r="67" spans="17:21" ht="14.25" customHeight="1">
      <c r="Q67" s="3"/>
      <c r="R67" s="3"/>
      <c r="U67" s="3"/>
    </row>
    <row r="68" spans="17:21" ht="14.25" customHeight="1">
      <c r="Q68" s="3"/>
      <c r="R68" s="3"/>
      <c r="U68" s="3"/>
    </row>
    <row r="69" spans="17:21" ht="14.25" customHeight="1">
      <c r="Q69" s="3"/>
      <c r="R69" s="3"/>
      <c r="U69" s="3"/>
    </row>
    <row r="70" spans="17:21" ht="14.25" customHeight="1">
      <c r="Q70" s="3"/>
      <c r="R70" s="3"/>
      <c r="U70" s="3"/>
    </row>
    <row r="71" spans="17:21" ht="14.25" customHeight="1">
      <c r="Q71" s="3"/>
      <c r="R71" s="3"/>
      <c r="U71" s="3"/>
    </row>
    <row r="72" spans="17:21" ht="14.25" customHeight="1">
      <c r="Q72" s="3"/>
      <c r="R72" s="3"/>
      <c r="U72" s="3"/>
    </row>
    <row r="73" spans="17:21" ht="14.25" customHeight="1">
      <c r="Q73" s="3"/>
      <c r="R73" s="3"/>
      <c r="U73" s="3"/>
    </row>
    <row r="74" spans="17:21" ht="14.25" customHeight="1">
      <c r="Q74" s="3"/>
      <c r="R74" s="3"/>
      <c r="U74" s="3"/>
    </row>
    <row r="75" spans="17:21" ht="14.25" customHeight="1">
      <c r="Q75" s="3"/>
      <c r="R75" s="3"/>
      <c r="U75" s="3"/>
    </row>
    <row r="76" spans="17:21" ht="14.25" customHeight="1">
      <c r="Q76" s="3"/>
      <c r="R76" s="3"/>
      <c r="U76" s="3"/>
    </row>
    <row r="77" spans="17:21" ht="14.25" customHeight="1">
      <c r="Q77" s="3"/>
      <c r="R77" s="3"/>
      <c r="U77" s="3"/>
    </row>
    <row r="78" spans="17:21" ht="14.25" customHeight="1">
      <c r="Q78" s="3"/>
      <c r="R78" s="3"/>
      <c r="U78" s="3"/>
    </row>
    <row r="79" spans="17:21" ht="14.25" customHeight="1">
      <c r="Q79" s="3"/>
      <c r="R79" s="3"/>
      <c r="U79" s="3"/>
    </row>
    <row r="80" spans="17:21" ht="14.25" customHeight="1">
      <c r="Q80" s="3"/>
      <c r="R80" s="3"/>
      <c r="U80" s="3"/>
    </row>
    <row r="81" spans="17:21" ht="14.25" customHeight="1">
      <c r="Q81" s="3"/>
      <c r="R81" s="3"/>
      <c r="U81" s="3"/>
    </row>
    <row r="82" spans="17:21" ht="14.25" customHeight="1">
      <c r="Q82" s="3"/>
      <c r="R82" s="3"/>
      <c r="U82" s="3"/>
    </row>
    <row r="83" spans="17:21" ht="14.25" customHeight="1">
      <c r="Q83" s="3"/>
      <c r="R83" s="3"/>
      <c r="U83" s="3"/>
    </row>
    <row r="84" spans="17:21" ht="14.25" customHeight="1">
      <c r="Q84" s="3"/>
      <c r="R84" s="3"/>
      <c r="U84" s="3"/>
    </row>
    <row r="85" spans="17:21" ht="14.25" customHeight="1">
      <c r="Q85" s="3"/>
      <c r="R85" s="3"/>
      <c r="U85" s="3"/>
    </row>
    <row r="86" spans="17:21" ht="14.25" customHeight="1">
      <c r="Q86" s="3"/>
      <c r="R86" s="3"/>
      <c r="U86" s="3"/>
    </row>
    <row r="87" spans="17:21" ht="14.25" customHeight="1">
      <c r="Q87" s="3"/>
      <c r="R87" s="3"/>
      <c r="U87" s="3"/>
    </row>
    <row r="88" spans="17:21" ht="14.25" customHeight="1">
      <c r="Q88" s="3"/>
      <c r="R88" s="3"/>
      <c r="U88" s="3"/>
    </row>
    <row r="89" spans="17:21" ht="14.25" customHeight="1">
      <c r="Q89" s="3"/>
      <c r="R89" s="3"/>
      <c r="U89" s="3"/>
    </row>
    <row r="90" spans="17:21" ht="14.25" customHeight="1">
      <c r="Q90" s="3"/>
      <c r="R90" s="3"/>
      <c r="U90" s="3"/>
    </row>
    <row r="91" spans="17:21" ht="14.25" customHeight="1">
      <c r="Q91" s="3"/>
      <c r="R91" s="3"/>
      <c r="U91" s="3"/>
    </row>
    <row r="92" spans="17:21" ht="14.25" customHeight="1">
      <c r="Q92" s="3"/>
      <c r="R92" s="3"/>
      <c r="U92" s="3"/>
    </row>
    <row r="93" spans="17:21" ht="14.25" customHeight="1">
      <c r="Q93" s="3"/>
      <c r="R93" s="3"/>
      <c r="U93" s="3"/>
    </row>
    <row r="94" spans="17:21" ht="14.25" customHeight="1">
      <c r="Q94" s="3"/>
      <c r="R94" s="3"/>
      <c r="U94" s="3"/>
    </row>
    <row r="95" spans="17:21" ht="14.25" customHeight="1">
      <c r="Q95" s="3"/>
      <c r="R95" s="3"/>
      <c r="U95" s="3"/>
    </row>
    <row r="96" spans="17:21" ht="14.25" customHeight="1">
      <c r="Q96" s="3"/>
      <c r="R96" s="3"/>
      <c r="U96" s="3"/>
    </row>
    <row r="97" spans="17:21" ht="14.25" customHeight="1">
      <c r="Q97" s="3"/>
      <c r="R97" s="3"/>
      <c r="U97" s="3"/>
    </row>
    <row r="98" spans="17:21" ht="14.25" customHeight="1">
      <c r="Q98" s="3"/>
      <c r="R98" s="3"/>
      <c r="U98" s="3"/>
    </row>
    <row r="99" spans="17:21" ht="14.25" customHeight="1">
      <c r="Q99" s="3"/>
      <c r="R99" s="3"/>
      <c r="U99" s="3"/>
    </row>
    <row r="100" spans="17:21" ht="14.25" customHeight="1">
      <c r="Q100" s="3"/>
      <c r="R100" s="3"/>
      <c r="U100" s="3"/>
    </row>
    <row r="101" spans="17:21" ht="14.25" customHeight="1">
      <c r="Q101" s="3"/>
      <c r="R101" s="3"/>
      <c r="U101" s="3"/>
    </row>
    <row r="102" spans="17:21" ht="14.25" customHeight="1">
      <c r="Q102" s="3"/>
      <c r="R102" s="3"/>
      <c r="U102" s="3"/>
    </row>
    <row r="103" spans="17:21" ht="14.25" customHeight="1">
      <c r="Q103" s="3"/>
      <c r="R103" s="3"/>
      <c r="U103" s="3"/>
    </row>
    <row r="104" spans="17:21" ht="14.25" customHeight="1">
      <c r="Q104" s="3"/>
      <c r="R104" s="3"/>
      <c r="U104" s="3"/>
    </row>
    <row r="105" spans="17:21" ht="14.25" customHeight="1">
      <c r="Q105" s="3"/>
      <c r="R105" s="3"/>
      <c r="U105" s="3"/>
    </row>
    <row r="106" spans="17:21" ht="14.25" customHeight="1">
      <c r="Q106" s="3"/>
      <c r="R106" s="3"/>
      <c r="U106" s="3"/>
    </row>
    <row r="107" spans="17:21" ht="14.25" customHeight="1">
      <c r="Q107" s="3"/>
      <c r="R107" s="3"/>
      <c r="U107" s="3"/>
    </row>
    <row r="108" spans="17:21" ht="14.25" customHeight="1">
      <c r="Q108" s="3"/>
      <c r="R108" s="3"/>
      <c r="U108" s="3"/>
    </row>
    <row r="109" spans="17:21" ht="14.25" customHeight="1">
      <c r="Q109" s="3"/>
      <c r="R109" s="3"/>
      <c r="U109" s="3"/>
    </row>
    <row r="110" spans="17:21" ht="14.25" customHeight="1">
      <c r="Q110" s="3"/>
      <c r="R110" s="3"/>
      <c r="U110" s="3"/>
    </row>
    <row r="111" spans="17:21" ht="14.25" customHeight="1">
      <c r="Q111" s="3"/>
      <c r="R111" s="3"/>
      <c r="U111" s="3"/>
    </row>
    <row r="112" spans="17:21" ht="14.25" customHeight="1">
      <c r="Q112" s="3"/>
      <c r="R112" s="3"/>
      <c r="U112" s="3"/>
    </row>
    <row r="113" spans="17:21" ht="14.25" customHeight="1">
      <c r="Q113" s="3"/>
      <c r="R113" s="3"/>
      <c r="U113" s="3"/>
    </row>
    <row r="114" spans="17:21" ht="14.25" customHeight="1">
      <c r="Q114" s="3"/>
      <c r="R114" s="3"/>
      <c r="U114" s="3"/>
    </row>
    <row r="115" spans="17:21" ht="14.25" customHeight="1">
      <c r="Q115" s="3"/>
      <c r="R115" s="3"/>
      <c r="U115" s="3"/>
    </row>
    <row r="116" spans="17:21" ht="14.25" customHeight="1">
      <c r="Q116" s="3"/>
      <c r="R116" s="3"/>
      <c r="U116" s="3"/>
    </row>
    <row r="117" spans="17:21" ht="14.25" customHeight="1">
      <c r="Q117" s="3"/>
      <c r="R117" s="3"/>
      <c r="U117" s="3"/>
    </row>
    <row r="118" spans="17:21" ht="14.25" customHeight="1">
      <c r="Q118" s="3"/>
      <c r="R118" s="3"/>
      <c r="U118" s="3"/>
    </row>
    <row r="119" spans="17:21" ht="14.25" customHeight="1">
      <c r="Q119" s="3"/>
      <c r="R119" s="3"/>
      <c r="U119" s="3"/>
    </row>
    <row r="120" spans="17:21" ht="14.25" customHeight="1">
      <c r="Q120" s="3"/>
      <c r="R120" s="3"/>
      <c r="U120" s="3"/>
    </row>
    <row r="121" spans="17:21" ht="14.25" customHeight="1">
      <c r="Q121" s="3"/>
      <c r="R121" s="3"/>
      <c r="U121" s="3"/>
    </row>
    <row r="122" spans="17:21" ht="14.25" customHeight="1">
      <c r="Q122" s="3"/>
      <c r="R122" s="3"/>
      <c r="U122" s="3"/>
    </row>
    <row r="123" spans="17:21" ht="14.25" customHeight="1">
      <c r="Q123" s="3"/>
      <c r="R123" s="3"/>
      <c r="U123" s="3"/>
    </row>
    <row r="124" spans="17:21" ht="14.25" customHeight="1">
      <c r="Q124" s="3"/>
      <c r="R124" s="3"/>
      <c r="U124" s="3"/>
    </row>
    <row r="125" spans="17:21" ht="14.25" customHeight="1">
      <c r="Q125" s="3"/>
      <c r="R125" s="3"/>
      <c r="U125" s="3"/>
    </row>
    <row r="126" spans="17:21" ht="14.25" customHeight="1">
      <c r="Q126" s="3"/>
      <c r="R126" s="3"/>
      <c r="U126" s="3"/>
    </row>
    <row r="127" spans="17:21" ht="14.25" customHeight="1">
      <c r="Q127" s="3"/>
      <c r="R127" s="3"/>
      <c r="U127" s="3"/>
    </row>
    <row r="128" spans="17:21" ht="14.25" customHeight="1">
      <c r="Q128" s="3"/>
      <c r="R128" s="3"/>
      <c r="U128" s="3"/>
    </row>
    <row r="129" spans="17:21" ht="14.25" customHeight="1">
      <c r="Q129" s="3"/>
      <c r="R129" s="3"/>
      <c r="U129" s="3"/>
    </row>
    <row r="130" spans="17:21" ht="14.25" customHeight="1">
      <c r="Q130" s="3"/>
      <c r="R130" s="3"/>
      <c r="U130" s="3"/>
    </row>
    <row r="131" spans="17:21" ht="14.25" customHeight="1">
      <c r="Q131" s="3"/>
      <c r="R131" s="3"/>
      <c r="U131" s="3"/>
    </row>
    <row r="132" spans="17:21" ht="14.25" customHeight="1">
      <c r="Q132" s="3"/>
      <c r="R132" s="3"/>
      <c r="U132" s="3"/>
    </row>
    <row r="133" spans="17:21" ht="14.25" customHeight="1">
      <c r="Q133" s="3"/>
      <c r="R133" s="3"/>
      <c r="U133" s="3"/>
    </row>
    <row r="134" spans="17:21" ht="14.25" customHeight="1">
      <c r="Q134" s="3"/>
      <c r="R134" s="3"/>
      <c r="U134" s="3"/>
    </row>
    <row r="135" spans="17:21" ht="14.25" customHeight="1">
      <c r="Q135" s="3"/>
      <c r="R135" s="3"/>
      <c r="U135" s="3"/>
    </row>
    <row r="136" spans="17:21" ht="14.25" customHeight="1">
      <c r="Q136" s="3"/>
      <c r="R136" s="3"/>
      <c r="U136" s="3"/>
    </row>
    <row r="137" spans="17:21" ht="14.25" customHeight="1">
      <c r="Q137" s="3"/>
      <c r="R137" s="3"/>
      <c r="U137" s="3"/>
    </row>
    <row r="138" spans="17:21" ht="14.25" customHeight="1">
      <c r="Q138" s="3"/>
      <c r="R138" s="3"/>
      <c r="U138" s="3"/>
    </row>
    <row r="139" spans="17:21" ht="14.25" customHeight="1">
      <c r="Q139" s="3"/>
      <c r="R139" s="3"/>
      <c r="U139" s="3"/>
    </row>
    <row r="140" spans="17:21" ht="14.25" customHeight="1">
      <c r="Q140" s="3"/>
      <c r="R140" s="3"/>
      <c r="U140" s="3"/>
    </row>
    <row r="141" spans="17:21" ht="14.25" customHeight="1">
      <c r="Q141" s="3"/>
      <c r="R141" s="3"/>
      <c r="U141" s="3"/>
    </row>
    <row r="142" spans="17:21" ht="14.25" customHeight="1">
      <c r="Q142" s="3"/>
      <c r="R142" s="3"/>
      <c r="U142" s="3"/>
    </row>
    <row r="143" spans="17:21" ht="14.25" customHeight="1">
      <c r="Q143" s="3"/>
      <c r="R143" s="3"/>
      <c r="U143" s="3"/>
    </row>
    <row r="144" spans="17:21" ht="14.25" customHeight="1">
      <c r="Q144" s="3"/>
      <c r="R144" s="3"/>
      <c r="U144" s="3"/>
    </row>
    <row r="145" spans="17:21" ht="14.25" customHeight="1">
      <c r="Q145" s="3"/>
      <c r="R145" s="3"/>
      <c r="U145" s="3"/>
    </row>
    <row r="146" spans="17:21" ht="14.25" customHeight="1">
      <c r="Q146" s="3"/>
      <c r="R146" s="3"/>
      <c r="U146" s="3"/>
    </row>
    <row r="147" spans="17:21" ht="14.25" customHeight="1">
      <c r="Q147" s="3"/>
      <c r="R147" s="3"/>
      <c r="U147" s="3"/>
    </row>
    <row r="148" spans="17:21" ht="14.25" customHeight="1">
      <c r="Q148" s="3"/>
      <c r="R148" s="3"/>
      <c r="U148" s="3"/>
    </row>
    <row r="149" spans="17:21" ht="14.25" customHeight="1">
      <c r="Q149" s="3"/>
      <c r="R149" s="3"/>
      <c r="U149" s="3"/>
    </row>
    <row r="150" spans="17:21" ht="14.25" customHeight="1">
      <c r="Q150" s="3"/>
      <c r="R150" s="3"/>
      <c r="U150" s="3"/>
    </row>
    <row r="151" spans="17:21" ht="14.25" customHeight="1">
      <c r="Q151" s="3"/>
      <c r="R151" s="3"/>
      <c r="U151" s="3"/>
    </row>
    <row r="152" spans="17:21" ht="14.25" customHeight="1">
      <c r="Q152" s="3"/>
      <c r="R152" s="3"/>
      <c r="U152" s="3"/>
    </row>
    <row r="153" spans="17:21" ht="14.25" customHeight="1">
      <c r="Q153" s="3"/>
      <c r="R153" s="3"/>
      <c r="U153" s="3"/>
    </row>
    <row r="154" spans="17:21" ht="14.25" customHeight="1">
      <c r="Q154" s="3"/>
      <c r="R154" s="3"/>
      <c r="U154" s="3"/>
    </row>
    <row r="155" spans="17:21" ht="14.25" customHeight="1">
      <c r="Q155" s="3"/>
      <c r="R155" s="3"/>
      <c r="U155" s="3"/>
    </row>
    <row r="156" spans="17:21" ht="14.25" customHeight="1">
      <c r="Q156" s="3"/>
      <c r="R156" s="3"/>
      <c r="U156" s="3"/>
    </row>
    <row r="157" spans="17:21" ht="14.25" customHeight="1">
      <c r="Q157" s="3"/>
      <c r="R157" s="3"/>
      <c r="U157" s="3"/>
    </row>
    <row r="158" spans="17:21" ht="14.25" customHeight="1">
      <c r="Q158" s="3"/>
      <c r="R158" s="3"/>
      <c r="U158" s="3"/>
    </row>
    <row r="159" spans="17:21" ht="14.25" customHeight="1">
      <c r="Q159" s="3"/>
      <c r="R159" s="3"/>
      <c r="U159" s="3"/>
    </row>
    <row r="160" spans="17:21" ht="14.25" customHeight="1">
      <c r="Q160" s="3"/>
      <c r="R160" s="3"/>
      <c r="U160" s="3"/>
    </row>
    <row r="161" spans="17:21" ht="14.25" customHeight="1">
      <c r="Q161" s="3"/>
      <c r="R161" s="3"/>
      <c r="U161" s="3"/>
    </row>
    <row r="162" spans="17:21" ht="14.25" customHeight="1">
      <c r="Q162" s="3"/>
      <c r="R162" s="3"/>
      <c r="U162" s="3"/>
    </row>
    <row r="163" spans="17:21" ht="14.25" customHeight="1">
      <c r="Q163" s="3"/>
      <c r="R163" s="3"/>
      <c r="U163" s="3"/>
    </row>
    <row r="164" spans="17:21" ht="14.25" customHeight="1">
      <c r="Q164" s="3"/>
      <c r="R164" s="3"/>
      <c r="U164" s="3"/>
    </row>
    <row r="165" spans="17:21" ht="14.25" customHeight="1">
      <c r="Q165" s="3"/>
      <c r="R165" s="3"/>
      <c r="U165" s="3"/>
    </row>
    <row r="166" spans="17:21" ht="14.25" customHeight="1">
      <c r="Q166" s="3"/>
      <c r="R166" s="3"/>
      <c r="U166" s="3"/>
    </row>
    <row r="167" spans="17:21" ht="14.25" customHeight="1">
      <c r="Q167" s="3"/>
      <c r="R167" s="3"/>
      <c r="U167" s="3"/>
    </row>
    <row r="168" spans="17:21" ht="14.25" customHeight="1">
      <c r="Q168" s="3"/>
      <c r="R168" s="3"/>
      <c r="U168" s="3"/>
    </row>
    <row r="169" spans="17:21" ht="14.25" customHeight="1">
      <c r="Q169" s="3"/>
      <c r="R169" s="3"/>
      <c r="U169" s="3"/>
    </row>
    <row r="170" spans="17:21" ht="14.25" customHeight="1">
      <c r="Q170" s="3"/>
      <c r="R170" s="3"/>
      <c r="U170" s="3"/>
    </row>
    <row r="171" spans="17:21" ht="14.25" customHeight="1">
      <c r="Q171" s="3"/>
      <c r="R171" s="3"/>
      <c r="U171" s="3"/>
    </row>
    <row r="172" spans="17:21" ht="14.25" customHeight="1">
      <c r="Q172" s="3"/>
      <c r="R172" s="3"/>
      <c r="U172" s="3"/>
    </row>
    <row r="173" spans="17:21" ht="14.25" customHeight="1">
      <c r="Q173" s="3"/>
      <c r="R173" s="3"/>
      <c r="U173" s="3"/>
    </row>
    <row r="174" spans="17:21" ht="14.25" customHeight="1">
      <c r="Q174" s="3"/>
      <c r="R174" s="3"/>
      <c r="U174" s="3"/>
    </row>
    <row r="175" spans="17:21" ht="14.25" customHeight="1">
      <c r="Q175" s="3"/>
      <c r="R175" s="3"/>
      <c r="U175" s="3"/>
    </row>
    <row r="176" spans="17:21" ht="14.25" customHeight="1">
      <c r="Q176" s="3"/>
      <c r="R176" s="3"/>
      <c r="U176" s="3"/>
    </row>
    <row r="177" spans="17:21" ht="14.25" customHeight="1">
      <c r="Q177" s="3"/>
      <c r="R177" s="3"/>
      <c r="U177" s="3"/>
    </row>
    <row r="178" spans="17:21" ht="14.25" customHeight="1">
      <c r="Q178" s="3"/>
      <c r="R178" s="3"/>
      <c r="U178" s="3"/>
    </row>
    <row r="179" spans="17:21" ht="14.25" customHeight="1">
      <c r="Q179" s="3"/>
      <c r="R179" s="3"/>
      <c r="U179" s="3"/>
    </row>
    <row r="180" spans="17:21" ht="14.25" customHeight="1">
      <c r="Q180" s="3"/>
      <c r="R180" s="3"/>
      <c r="U180" s="3"/>
    </row>
    <row r="181" spans="17:21" ht="14.25" customHeight="1">
      <c r="Q181" s="3"/>
      <c r="R181" s="3"/>
      <c r="U181" s="3"/>
    </row>
    <row r="182" spans="17:21" ht="14.25" customHeight="1">
      <c r="Q182" s="3"/>
      <c r="R182" s="3"/>
      <c r="U182" s="3"/>
    </row>
    <row r="183" spans="17:21" ht="14.25" customHeight="1">
      <c r="Q183" s="3"/>
      <c r="R183" s="3"/>
      <c r="U183" s="3"/>
    </row>
    <row r="184" spans="17:21" ht="14.25" customHeight="1">
      <c r="Q184" s="3"/>
      <c r="R184" s="3"/>
      <c r="U184" s="3"/>
    </row>
    <row r="185" spans="17:21" ht="14.25" customHeight="1">
      <c r="Q185" s="3"/>
      <c r="R185" s="3"/>
      <c r="U185" s="3"/>
    </row>
    <row r="186" spans="17:21" ht="14.25" customHeight="1">
      <c r="Q186" s="3"/>
      <c r="R186" s="3"/>
      <c r="U186" s="3"/>
    </row>
    <row r="187" spans="17:21" ht="14.25" customHeight="1">
      <c r="Q187" s="3"/>
      <c r="R187" s="3"/>
      <c r="U187" s="3"/>
    </row>
    <row r="188" spans="17:21" ht="14.25" customHeight="1">
      <c r="Q188" s="3"/>
      <c r="R188" s="3"/>
      <c r="U188" s="3"/>
    </row>
    <row r="189" spans="17:21" ht="14.25" customHeight="1">
      <c r="Q189" s="3"/>
      <c r="R189" s="3"/>
      <c r="U189" s="3"/>
    </row>
    <row r="190" spans="17:21" ht="14.25" customHeight="1">
      <c r="Q190" s="3"/>
      <c r="R190" s="3"/>
      <c r="U190" s="3"/>
    </row>
    <row r="191" spans="17:21" ht="14.25" customHeight="1">
      <c r="Q191" s="3"/>
      <c r="R191" s="3"/>
      <c r="U191" s="3"/>
    </row>
    <row r="192" spans="17:21" ht="14.25" customHeight="1">
      <c r="Q192" s="3"/>
      <c r="R192" s="3"/>
      <c r="U192" s="3"/>
    </row>
    <row r="193" spans="17:21" ht="14.25" customHeight="1">
      <c r="Q193" s="3"/>
      <c r="R193" s="3"/>
      <c r="U193" s="3"/>
    </row>
    <row r="194" spans="17:21" ht="14.25" customHeight="1">
      <c r="Q194" s="3"/>
      <c r="R194" s="3"/>
      <c r="U194" s="3"/>
    </row>
    <row r="195" spans="17:21" ht="14.25" customHeight="1">
      <c r="Q195" s="3"/>
      <c r="R195" s="3"/>
      <c r="U195" s="3"/>
    </row>
    <row r="196" spans="17:21" ht="14.25" customHeight="1">
      <c r="Q196" s="3"/>
      <c r="R196" s="3"/>
      <c r="U196" s="3"/>
    </row>
    <row r="197" spans="17:21" ht="14.25" customHeight="1">
      <c r="Q197" s="3"/>
      <c r="R197" s="3"/>
      <c r="U197" s="3"/>
    </row>
    <row r="198" spans="17:21" ht="14.25" customHeight="1">
      <c r="Q198" s="3"/>
      <c r="R198" s="3"/>
      <c r="U198" s="3"/>
    </row>
    <row r="199" spans="17:21" ht="14.25" customHeight="1">
      <c r="Q199" s="3"/>
      <c r="R199" s="3"/>
      <c r="U199" s="3"/>
    </row>
    <row r="200" spans="17:21" ht="14.25" customHeight="1">
      <c r="Q200" s="3"/>
      <c r="R200" s="3"/>
      <c r="U200" s="3"/>
    </row>
    <row r="201" spans="17:21" ht="14.25" customHeight="1">
      <c r="Q201" s="3"/>
      <c r="R201" s="3"/>
      <c r="U201" s="3"/>
    </row>
    <row r="202" spans="17:21" ht="14.25" customHeight="1">
      <c r="Q202" s="3"/>
      <c r="R202" s="3"/>
      <c r="U202" s="3"/>
    </row>
    <row r="203" spans="17:21" ht="14.25" customHeight="1">
      <c r="Q203" s="3"/>
      <c r="R203" s="3"/>
      <c r="U203" s="3"/>
    </row>
    <row r="204" spans="17:21" ht="14.25" customHeight="1">
      <c r="Q204" s="3"/>
      <c r="R204" s="3"/>
      <c r="U204" s="3"/>
    </row>
    <row r="205" spans="17:21" ht="14.25" customHeight="1">
      <c r="Q205" s="3"/>
      <c r="R205" s="3"/>
      <c r="U205" s="3"/>
    </row>
    <row r="206" spans="17:21" ht="14.25" customHeight="1">
      <c r="Q206" s="3"/>
      <c r="R206" s="3"/>
      <c r="U206" s="3"/>
    </row>
    <row r="207" spans="17:21" ht="14.25" customHeight="1">
      <c r="Q207" s="3"/>
      <c r="R207" s="3"/>
      <c r="U207" s="3"/>
    </row>
    <row r="208" spans="17:21" ht="14.25" customHeight="1">
      <c r="Q208" s="3"/>
      <c r="R208" s="3"/>
      <c r="U208" s="3"/>
    </row>
    <row r="209" spans="17:21" ht="14.25" customHeight="1">
      <c r="Q209" s="3"/>
      <c r="R209" s="3"/>
      <c r="U209" s="3"/>
    </row>
    <row r="210" spans="17:21" ht="14.25" customHeight="1">
      <c r="Q210" s="3"/>
      <c r="R210" s="3"/>
      <c r="U210" s="3"/>
    </row>
    <row r="211" spans="17:21" ht="14.25" customHeight="1">
      <c r="Q211" s="3"/>
      <c r="R211" s="3"/>
      <c r="U211" s="3"/>
    </row>
    <row r="212" spans="17:21" ht="14.25" customHeight="1">
      <c r="Q212" s="3"/>
      <c r="R212" s="3"/>
      <c r="U212" s="3"/>
    </row>
    <row r="213" spans="17:21" ht="14.25" customHeight="1">
      <c r="Q213" s="3"/>
      <c r="R213" s="3"/>
      <c r="U213" s="3"/>
    </row>
    <row r="214" spans="17:21" ht="14.25" customHeight="1">
      <c r="Q214" s="3"/>
      <c r="R214" s="3"/>
      <c r="U214" s="3"/>
    </row>
    <row r="215" spans="17:21" ht="14.25" customHeight="1">
      <c r="Q215" s="3"/>
      <c r="R215" s="3"/>
      <c r="U215" s="3"/>
    </row>
    <row r="216" spans="17:21" ht="14.25" customHeight="1">
      <c r="Q216" s="3"/>
      <c r="R216" s="3"/>
      <c r="U216" s="3"/>
    </row>
    <row r="217" spans="17:21" ht="14.25" customHeight="1">
      <c r="Q217" s="3"/>
      <c r="R217" s="3"/>
      <c r="U217" s="3"/>
    </row>
    <row r="218" spans="17:21" ht="14.25" customHeight="1">
      <c r="Q218" s="3"/>
      <c r="R218" s="3"/>
      <c r="U218" s="3"/>
    </row>
    <row r="219" spans="17:21" ht="14.25" customHeight="1">
      <c r="Q219" s="3"/>
      <c r="R219" s="3"/>
      <c r="U219" s="3"/>
    </row>
    <row r="220" spans="17:21" ht="14.25" customHeight="1">
      <c r="Q220" s="3"/>
      <c r="R220" s="3"/>
      <c r="U220" s="3"/>
    </row>
    <row r="221" spans="17:21" ht="14.25" customHeight="1">
      <c r="Q221" s="3"/>
      <c r="R221" s="3"/>
      <c r="U221" s="3"/>
    </row>
    <row r="222" spans="17:21" ht="14.25" customHeight="1">
      <c r="Q222" s="3"/>
      <c r="R222" s="3"/>
      <c r="U222" s="3"/>
    </row>
    <row r="223" spans="17:21" ht="14.25" customHeight="1">
      <c r="Q223" s="3"/>
      <c r="R223" s="3"/>
      <c r="U223" s="3"/>
    </row>
    <row r="224" spans="17:21" ht="14.25" customHeight="1">
      <c r="Q224" s="3"/>
      <c r="R224" s="3"/>
      <c r="U224" s="3"/>
    </row>
    <row r="225" spans="17:21" ht="14.25" customHeight="1">
      <c r="Q225" s="3"/>
      <c r="R225" s="3"/>
      <c r="U225" s="3"/>
    </row>
    <row r="226" spans="17:21" ht="14.25" customHeight="1">
      <c r="Q226" s="3"/>
      <c r="R226" s="3"/>
      <c r="U226" s="3"/>
    </row>
    <row r="227" spans="17:21" ht="14.25" customHeight="1">
      <c r="Q227" s="3"/>
      <c r="R227" s="3"/>
      <c r="U227" s="3"/>
    </row>
    <row r="228" spans="17:21" ht="14.25" customHeight="1">
      <c r="Q228" s="3"/>
      <c r="R228" s="3"/>
      <c r="U228" s="3"/>
    </row>
    <row r="229" spans="17:21" ht="14.25" customHeight="1">
      <c r="Q229" s="3"/>
      <c r="R229" s="3"/>
      <c r="U229" s="3"/>
    </row>
    <row r="230" spans="17:21" ht="14.25" customHeight="1">
      <c r="Q230" s="3"/>
      <c r="R230" s="3"/>
      <c r="U230" s="3"/>
    </row>
    <row r="231" spans="17:21" ht="14.25" customHeight="1">
      <c r="Q231" s="3"/>
      <c r="R231" s="3"/>
      <c r="U231" s="3"/>
    </row>
    <row r="232" spans="17:21" ht="14.25" customHeight="1">
      <c r="Q232" s="3"/>
      <c r="R232" s="3"/>
      <c r="U232" s="3"/>
    </row>
    <row r="233" spans="17:21" ht="14.25" customHeight="1">
      <c r="Q233" s="3"/>
      <c r="R233" s="3"/>
      <c r="U233" s="3"/>
    </row>
    <row r="234" spans="17:21" ht="14.25" customHeight="1">
      <c r="Q234" s="3"/>
      <c r="R234" s="3"/>
      <c r="U234" s="3"/>
    </row>
    <row r="235" spans="17:21" ht="14.25" customHeight="1">
      <c r="Q235" s="3"/>
      <c r="R235" s="3"/>
      <c r="U235" s="3"/>
    </row>
    <row r="236" spans="17:21" ht="14.25" customHeight="1">
      <c r="Q236" s="3"/>
      <c r="R236" s="3"/>
      <c r="U236" s="3"/>
    </row>
    <row r="237" spans="17:21" ht="14.25" customHeight="1">
      <c r="Q237" s="3"/>
      <c r="R237" s="3"/>
      <c r="U237" s="3"/>
    </row>
    <row r="238" spans="17:21" ht="14.25" customHeight="1">
      <c r="Q238" s="3"/>
      <c r="R238" s="3"/>
      <c r="U238" s="3"/>
    </row>
    <row r="239" spans="17:21" ht="14.25" customHeight="1">
      <c r="Q239" s="3"/>
      <c r="R239" s="3"/>
      <c r="U239" s="3"/>
    </row>
    <row r="240" spans="17:21" ht="14.25" customHeight="1">
      <c r="Q240" s="3"/>
      <c r="R240" s="3"/>
      <c r="U240" s="3"/>
    </row>
    <row r="241" spans="17:21" ht="14.25" customHeight="1">
      <c r="Q241" s="3"/>
      <c r="R241" s="3"/>
      <c r="U241" s="3"/>
    </row>
    <row r="242" spans="17:21" ht="14.25" customHeight="1">
      <c r="Q242" s="3"/>
      <c r="R242" s="3"/>
      <c r="U242" s="3"/>
    </row>
    <row r="243" spans="17:21" ht="14.25" customHeight="1">
      <c r="Q243" s="3"/>
      <c r="R243" s="3"/>
      <c r="U243" s="3"/>
    </row>
    <row r="244" spans="17:21" ht="14.25" customHeight="1">
      <c r="Q244" s="3"/>
      <c r="R244" s="3"/>
      <c r="U244" s="3"/>
    </row>
    <row r="245" spans="17:21" ht="14.25" customHeight="1">
      <c r="Q245" s="3"/>
      <c r="R245" s="3"/>
      <c r="U245" s="3"/>
    </row>
    <row r="246" spans="17:21" ht="14.25" customHeight="1">
      <c r="Q246" s="3"/>
      <c r="R246" s="3"/>
      <c r="U246" s="3"/>
    </row>
    <row r="247" spans="17:21" ht="14.25" customHeight="1">
      <c r="Q247" s="3"/>
      <c r="R247" s="3"/>
      <c r="U247" s="3"/>
    </row>
    <row r="248" spans="17:21" ht="14.25" customHeight="1">
      <c r="Q248" s="3"/>
      <c r="R248" s="3"/>
      <c r="U248" s="3"/>
    </row>
    <row r="249" spans="17:21" ht="14.25" customHeight="1">
      <c r="Q249" s="3"/>
      <c r="R249" s="3"/>
      <c r="U249" s="3"/>
    </row>
    <row r="250" spans="17:21" ht="14.25" customHeight="1">
      <c r="Q250" s="3"/>
      <c r="R250" s="3"/>
      <c r="U250" s="3"/>
    </row>
    <row r="251" spans="17:21" ht="14.25" customHeight="1">
      <c r="Q251" s="3"/>
      <c r="R251" s="3"/>
      <c r="U251" s="3"/>
    </row>
    <row r="252" spans="17:21" ht="14.25" customHeight="1">
      <c r="Q252" s="3"/>
      <c r="R252" s="3"/>
      <c r="U252" s="3"/>
    </row>
    <row r="253" spans="17:21" ht="14.25" customHeight="1">
      <c r="Q253" s="3"/>
      <c r="R253" s="3"/>
      <c r="U253" s="3"/>
    </row>
    <row r="254" spans="17:21" ht="14.25" customHeight="1">
      <c r="Q254" s="3"/>
      <c r="R254" s="3"/>
      <c r="U254" s="3"/>
    </row>
    <row r="255" spans="17:21" ht="14.25" customHeight="1">
      <c r="Q255" s="3"/>
      <c r="R255" s="3"/>
      <c r="U255" s="3"/>
    </row>
    <row r="256" spans="17:21" ht="14.25" customHeight="1">
      <c r="Q256" s="3"/>
      <c r="R256" s="3"/>
      <c r="U256" s="3"/>
    </row>
    <row r="257" spans="17:21" ht="14.25" customHeight="1">
      <c r="Q257" s="3"/>
      <c r="R257" s="3"/>
      <c r="U257" s="3"/>
    </row>
    <row r="258" spans="17:21" ht="14.25" customHeight="1">
      <c r="Q258" s="3"/>
      <c r="R258" s="3"/>
      <c r="U258" s="3"/>
    </row>
    <row r="259" spans="17:21" ht="14.25" customHeight="1">
      <c r="Q259" s="3"/>
      <c r="R259" s="3"/>
      <c r="U259" s="3"/>
    </row>
    <row r="260" spans="17:21" ht="14.25" customHeight="1">
      <c r="Q260" s="3"/>
      <c r="R260" s="3"/>
      <c r="U260" s="3"/>
    </row>
    <row r="261" spans="17:21" ht="14.25" customHeight="1">
      <c r="Q261" s="3"/>
      <c r="R261" s="3"/>
      <c r="U261" s="3"/>
    </row>
    <row r="262" spans="17:21" ht="14.25" customHeight="1">
      <c r="Q262" s="3"/>
      <c r="R262" s="3"/>
      <c r="U262" s="3"/>
    </row>
    <row r="263" spans="17:21" ht="14.25" customHeight="1">
      <c r="Q263" s="3"/>
      <c r="R263" s="3"/>
      <c r="U263" s="3"/>
    </row>
    <row r="264" spans="17:21" ht="14.25" customHeight="1">
      <c r="Q264" s="3"/>
      <c r="R264" s="3"/>
      <c r="U264" s="3"/>
    </row>
    <row r="265" spans="17:21" ht="14.25" customHeight="1">
      <c r="Q265" s="3"/>
      <c r="R265" s="3"/>
      <c r="U265" s="3"/>
    </row>
    <row r="266" spans="17:21" ht="14.25" customHeight="1">
      <c r="Q266" s="3"/>
      <c r="R266" s="3"/>
      <c r="U266" s="3"/>
    </row>
    <row r="267" spans="17:21" ht="14.25" customHeight="1">
      <c r="Q267" s="3"/>
      <c r="R267" s="3"/>
      <c r="U267" s="3"/>
    </row>
    <row r="268" spans="17:21" ht="14.25" customHeight="1">
      <c r="Q268" s="3"/>
      <c r="R268" s="3"/>
      <c r="U268" s="3"/>
    </row>
    <row r="269" spans="17:21" ht="14.25" customHeight="1">
      <c r="Q269" s="3"/>
      <c r="R269" s="3"/>
      <c r="U269" s="3"/>
    </row>
    <row r="270" spans="17:21" ht="14.25" customHeight="1">
      <c r="Q270" s="3"/>
      <c r="R270" s="3"/>
      <c r="U270" s="3"/>
    </row>
    <row r="271" spans="17:21" ht="14.25" customHeight="1">
      <c r="Q271" s="3"/>
      <c r="R271" s="3"/>
      <c r="U271" s="3"/>
    </row>
    <row r="272" spans="17:21" ht="14.25" customHeight="1">
      <c r="Q272" s="3"/>
      <c r="R272" s="3"/>
      <c r="U272" s="3"/>
    </row>
    <row r="273" spans="17:21" ht="14.25" customHeight="1">
      <c r="Q273" s="3"/>
      <c r="R273" s="3"/>
      <c r="U273" s="3"/>
    </row>
    <row r="274" spans="17:21" ht="14.25" customHeight="1">
      <c r="Q274" s="3"/>
      <c r="R274" s="3"/>
      <c r="U274" s="3"/>
    </row>
    <row r="275" spans="17:21" ht="14.25" customHeight="1">
      <c r="Q275" s="3"/>
      <c r="R275" s="3"/>
      <c r="U275" s="3"/>
    </row>
    <row r="276" spans="17:21" ht="14.25" customHeight="1">
      <c r="Q276" s="3"/>
      <c r="R276" s="3"/>
      <c r="U276" s="3"/>
    </row>
    <row r="277" spans="17:21" ht="14.25" customHeight="1">
      <c r="Q277" s="3"/>
      <c r="R277" s="3"/>
      <c r="U277" s="3"/>
    </row>
    <row r="278" spans="17:21" ht="14.25" customHeight="1">
      <c r="Q278" s="3"/>
      <c r="R278" s="3"/>
      <c r="U278" s="3"/>
    </row>
    <row r="279" spans="17:21" ht="14.25" customHeight="1">
      <c r="Q279" s="3"/>
      <c r="R279" s="3"/>
      <c r="U279" s="3"/>
    </row>
    <row r="280" spans="17:21" ht="14.25" customHeight="1">
      <c r="Q280" s="3"/>
      <c r="R280" s="3"/>
      <c r="U280" s="3"/>
    </row>
    <row r="281" spans="17:21" ht="14.25" customHeight="1">
      <c r="Q281" s="3"/>
      <c r="R281" s="3"/>
      <c r="U281" s="3"/>
    </row>
    <row r="282" spans="17:21" ht="14.25" customHeight="1">
      <c r="Q282" s="3"/>
      <c r="R282" s="3"/>
      <c r="U282" s="3"/>
    </row>
    <row r="283" spans="17:21" ht="14.25" customHeight="1">
      <c r="Q283" s="3"/>
      <c r="R283" s="3"/>
      <c r="U283" s="3"/>
    </row>
    <row r="284" spans="17:21" ht="14.25" customHeight="1">
      <c r="Q284" s="3"/>
      <c r="R284" s="3"/>
      <c r="U284" s="3"/>
    </row>
    <row r="285" spans="17:21" ht="14.25" customHeight="1">
      <c r="Q285" s="3"/>
      <c r="R285" s="3"/>
      <c r="U285" s="3"/>
    </row>
    <row r="286" spans="17:21" ht="14.25" customHeight="1">
      <c r="Q286" s="3"/>
      <c r="R286" s="3"/>
      <c r="U286" s="3"/>
    </row>
    <row r="287" spans="17:21" ht="14.25" customHeight="1">
      <c r="Q287" s="3"/>
      <c r="R287" s="3"/>
      <c r="U287" s="3"/>
    </row>
    <row r="288" spans="17:21" ht="14.25" customHeight="1">
      <c r="Q288" s="3"/>
      <c r="R288" s="3"/>
      <c r="U288" s="3"/>
    </row>
    <row r="289" spans="17:21" ht="14.25" customHeight="1">
      <c r="Q289" s="3"/>
      <c r="R289" s="3"/>
      <c r="U289" s="3"/>
    </row>
    <row r="290" spans="17:21" ht="14.25" customHeight="1">
      <c r="Q290" s="3"/>
      <c r="R290" s="3"/>
      <c r="U290" s="3"/>
    </row>
    <row r="291" spans="17:21" ht="14.25" customHeight="1">
      <c r="Q291" s="3"/>
      <c r="R291" s="3"/>
      <c r="U291" s="3"/>
    </row>
    <row r="292" spans="17:21" ht="14.25" customHeight="1">
      <c r="Q292" s="3"/>
      <c r="R292" s="3"/>
      <c r="U292" s="3"/>
    </row>
    <row r="293" spans="17:21" ht="14.25" customHeight="1">
      <c r="Q293" s="3"/>
      <c r="R293" s="3"/>
      <c r="U293" s="3"/>
    </row>
    <row r="294" spans="17:21" ht="14.25" customHeight="1">
      <c r="Q294" s="3"/>
      <c r="R294" s="3"/>
      <c r="U294" s="3"/>
    </row>
    <row r="295" spans="17:21" ht="14.25" customHeight="1">
      <c r="Q295" s="3"/>
      <c r="R295" s="3"/>
      <c r="U295" s="3"/>
    </row>
    <row r="296" spans="17:21" ht="14.25" customHeight="1">
      <c r="Q296" s="3"/>
      <c r="R296" s="3"/>
      <c r="U296" s="3"/>
    </row>
    <row r="297" spans="17:21" ht="14.25" customHeight="1">
      <c r="Q297" s="3"/>
      <c r="R297" s="3"/>
      <c r="U297" s="3"/>
    </row>
    <row r="298" spans="17:21" ht="14.25" customHeight="1">
      <c r="Q298" s="3"/>
      <c r="R298" s="3"/>
      <c r="U298" s="3"/>
    </row>
    <row r="299" spans="17:21" ht="14.25" customHeight="1">
      <c r="Q299" s="3"/>
      <c r="R299" s="3"/>
      <c r="U299" s="3"/>
    </row>
    <row r="300" spans="17:21" ht="14.25" customHeight="1">
      <c r="Q300" s="3"/>
      <c r="R300" s="3"/>
      <c r="U300" s="3"/>
    </row>
    <row r="301" spans="17:21" ht="14.25" customHeight="1">
      <c r="Q301" s="3"/>
      <c r="R301" s="3"/>
      <c r="U301" s="3"/>
    </row>
    <row r="302" spans="17:21" ht="14.25" customHeight="1">
      <c r="Q302" s="3"/>
      <c r="R302" s="3"/>
      <c r="U302" s="3"/>
    </row>
    <row r="303" spans="17:21" ht="14.25" customHeight="1">
      <c r="Q303" s="3"/>
      <c r="R303" s="3"/>
      <c r="U303" s="3"/>
    </row>
    <row r="304" spans="17:21" ht="14.25" customHeight="1">
      <c r="Q304" s="3"/>
      <c r="R304" s="3"/>
      <c r="U304" s="3"/>
    </row>
    <row r="305" spans="17:21" ht="14.25" customHeight="1">
      <c r="Q305" s="3"/>
      <c r="R305" s="3"/>
      <c r="U305" s="3"/>
    </row>
    <row r="306" spans="17:21" ht="14.25" customHeight="1">
      <c r="Q306" s="3"/>
      <c r="R306" s="3"/>
      <c r="U306" s="3"/>
    </row>
    <row r="307" spans="17:21" ht="14.25" customHeight="1">
      <c r="Q307" s="3"/>
      <c r="R307" s="3"/>
      <c r="U307" s="3"/>
    </row>
    <row r="308" spans="17:21" ht="14.25" customHeight="1">
      <c r="Q308" s="3"/>
      <c r="R308" s="3"/>
      <c r="U308" s="3"/>
    </row>
    <row r="309" spans="17:21" ht="14.25" customHeight="1">
      <c r="Q309" s="3"/>
      <c r="R309" s="3"/>
      <c r="U309" s="3"/>
    </row>
    <row r="310" spans="17:21" ht="14.25" customHeight="1">
      <c r="Q310" s="3"/>
      <c r="R310" s="3"/>
      <c r="U310" s="3"/>
    </row>
    <row r="311" spans="17:21" ht="14.25" customHeight="1">
      <c r="Q311" s="3"/>
      <c r="R311" s="3"/>
      <c r="U311" s="3"/>
    </row>
    <row r="312" spans="17:21" ht="14.25" customHeight="1">
      <c r="Q312" s="3"/>
      <c r="R312" s="3"/>
      <c r="U312" s="3"/>
    </row>
    <row r="313" spans="17:21" ht="14.25" customHeight="1">
      <c r="Q313" s="3"/>
      <c r="R313" s="3"/>
      <c r="U313" s="3"/>
    </row>
    <row r="314" spans="17:21" ht="14.25" customHeight="1">
      <c r="Q314" s="3"/>
      <c r="R314" s="3"/>
      <c r="U314" s="3"/>
    </row>
    <row r="315" spans="17:21" ht="14.25" customHeight="1">
      <c r="Q315" s="3"/>
      <c r="R315" s="3"/>
      <c r="U315" s="3"/>
    </row>
    <row r="316" spans="17:21" ht="14.25" customHeight="1">
      <c r="Q316" s="3"/>
      <c r="R316" s="3"/>
      <c r="U316" s="3"/>
    </row>
    <row r="317" spans="17:21" ht="14.25" customHeight="1">
      <c r="Q317" s="3"/>
      <c r="R317" s="3"/>
      <c r="U317" s="3"/>
    </row>
    <row r="318" spans="17:21" ht="14.25" customHeight="1">
      <c r="Q318" s="3"/>
      <c r="R318" s="3"/>
      <c r="U318" s="3"/>
    </row>
    <row r="319" spans="17:21" ht="14.25" customHeight="1">
      <c r="Q319" s="3"/>
      <c r="R319" s="3"/>
      <c r="U319" s="3"/>
    </row>
    <row r="320" spans="17:21" ht="14.25" customHeight="1">
      <c r="Q320" s="3"/>
      <c r="R320" s="3"/>
      <c r="U320" s="3"/>
    </row>
    <row r="321" spans="17:21" ht="14.25" customHeight="1">
      <c r="Q321" s="3"/>
      <c r="R321" s="3"/>
      <c r="U321" s="3"/>
    </row>
    <row r="322" spans="17:21" ht="14.25" customHeight="1">
      <c r="Q322" s="3"/>
      <c r="R322" s="3"/>
      <c r="U322" s="3"/>
    </row>
    <row r="323" spans="17:21" ht="14.25" customHeight="1">
      <c r="Q323" s="3"/>
      <c r="R323" s="3"/>
      <c r="U323" s="3"/>
    </row>
    <row r="324" spans="17:21" ht="14.25" customHeight="1">
      <c r="Q324" s="3"/>
      <c r="R324" s="3"/>
      <c r="U324" s="3"/>
    </row>
    <row r="325" spans="17:21" ht="14.25" customHeight="1">
      <c r="Q325" s="3"/>
      <c r="R325" s="3"/>
      <c r="U325" s="3"/>
    </row>
    <row r="326" spans="17:21" ht="14.25" customHeight="1">
      <c r="Q326" s="3"/>
      <c r="R326" s="3"/>
      <c r="U326" s="3"/>
    </row>
    <row r="327" spans="17:21" ht="14.25" customHeight="1">
      <c r="Q327" s="3"/>
      <c r="R327" s="3"/>
      <c r="U327" s="3"/>
    </row>
    <row r="328" spans="17:21" ht="14.25" customHeight="1">
      <c r="Q328" s="3"/>
      <c r="R328" s="3"/>
      <c r="U328" s="3"/>
    </row>
    <row r="329" spans="17:21" ht="14.25" customHeight="1">
      <c r="Q329" s="3"/>
      <c r="R329" s="3"/>
      <c r="U329" s="3"/>
    </row>
    <row r="330" spans="17:21" ht="14.25" customHeight="1">
      <c r="Q330" s="3"/>
      <c r="R330" s="3"/>
      <c r="U330" s="3"/>
    </row>
    <row r="331" spans="17:21" ht="14.25" customHeight="1">
      <c r="Q331" s="3"/>
      <c r="R331" s="3"/>
      <c r="U331" s="3"/>
    </row>
    <row r="332" spans="17:21" ht="14.25" customHeight="1">
      <c r="Q332" s="3"/>
      <c r="R332" s="3"/>
      <c r="U332" s="3"/>
    </row>
    <row r="333" spans="17:21" ht="14.25" customHeight="1">
      <c r="Q333" s="3"/>
      <c r="R333" s="3"/>
      <c r="U333" s="3"/>
    </row>
    <row r="334" spans="17:21" ht="14.25" customHeight="1">
      <c r="Q334" s="3"/>
      <c r="R334" s="3"/>
      <c r="U334" s="3"/>
    </row>
    <row r="335" spans="17:21" ht="14.25" customHeight="1">
      <c r="Q335" s="3"/>
      <c r="R335" s="3"/>
      <c r="U335" s="3"/>
    </row>
    <row r="336" spans="17:21" ht="14.25" customHeight="1">
      <c r="Q336" s="3"/>
      <c r="R336" s="3"/>
      <c r="U336" s="3"/>
    </row>
    <row r="337" spans="17:21" ht="14.25" customHeight="1">
      <c r="Q337" s="3"/>
      <c r="R337" s="3"/>
      <c r="U337" s="3"/>
    </row>
    <row r="338" spans="17:21" ht="14.25" customHeight="1">
      <c r="Q338" s="3"/>
      <c r="R338" s="3"/>
      <c r="U338" s="3"/>
    </row>
    <row r="339" spans="17:21" ht="14.25" customHeight="1">
      <c r="Q339" s="3"/>
      <c r="R339" s="3"/>
      <c r="U339" s="3"/>
    </row>
    <row r="340" spans="17:21" ht="14.25" customHeight="1">
      <c r="Q340" s="3"/>
      <c r="R340" s="3"/>
      <c r="U340" s="3"/>
    </row>
    <row r="341" spans="17:21" ht="14.25" customHeight="1">
      <c r="Q341" s="3"/>
      <c r="R341" s="3"/>
      <c r="U341" s="3"/>
    </row>
    <row r="342" spans="17:21" ht="14.25" customHeight="1">
      <c r="Q342" s="3"/>
      <c r="R342" s="3"/>
      <c r="U342" s="3"/>
    </row>
    <row r="343" spans="17:21" ht="14.25" customHeight="1">
      <c r="Q343" s="3"/>
      <c r="R343" s="3"/>
      <c r="U343" s="3"/>
    </row>
    <row r="344" spans="17:21" ht="14.25" customHeight="1">
      <c r="Q344" s="3"/>
      <c r="R344" s="3"/>
      <c r="U344" s="3"/>
    </row>
    <row r="345" spans="17:21" ht="14.25" customHeight="1">
      <c r="Q345" s="3"/>
      <c r="R345" s="3"/>
      <c r="U345" s="3"/>
    </row>
    <row r="346" spans="17:21" ht="14.25" customHeight="1">
      <c r="Q346" s="3"/>
      <c r="R346" s="3"/>
      <c r="U346" s="3"/>
    </row>
    <row r="347" spans="17:21" ht="14.25" customHeight="1">
      <c r="Q347" s="3"/>
      <c r="R347" s="3"/>
      <c r="U347" s="3"/>
    </row>
    <row r="348" spans="17:21" ht="14.25" customHeight="1">
      <c r="Q348" s="3"/>
      <c r="R348" s="3"/>
      <c r="U348" s="3"/>
    </row>
    <row r="349" spans="17:21" ht="14.25" customHeight="1">
      <c r="Q349" s="3"/>
      <c r="R349" s="3"/>
      <c r="U349" s="3"/>
    </row>
    <row r="350" spans="17:21" ht="14.25" customHeight="1">
      <c r="Q350" s="3"/>
      <c r="R350" s="3"/>
      <c r="U350" s="3"/>
    </row>
    <row r="351" spans="17:21" ht="14.25" customHeight="1">
      <c r="Q351" s="3"/>
      <c r="R351" s="3"/>
      <c r="U351" s="3"/>
    </row>
    <row r="352" spans="17:21" ht="14.25" customHeight="1">
      <c r="Q352" s="3"/>
      <c r="R352" s="3"/>
      <c r="U352" s="3"/>
    </row>
    <row r="353" spans="17:21" ht="14.25" customHeight="1">
      <c r="Q353" s="3"/>
      <c r="R353" s="3"/>
      <c r="U353" s="3"/>
    </row>
    <row r="354" spans="17:21" ht="14.25" customHeight="1">
      <c r="Q354" s="3"/>
      <c r="R354" s="3"/>
      <c r="U354" s="3"/>
    </row>
    <row r="355" spans="17:21" ht="14.25" customHeight="1">
      <c r="Q355" s="3"/>
      <c r="R355" s="3"/>
      <c r="U355" s="3"/>
    </row>
    <row r="356" spans="17:21" ht="14.25" customHeight="1">
      <c r="Q356" s="3"/>
      <c r="R356" s="3"/>
      <c r="U356" s="3"/>
    </row>
    <row r="357" spans="17:21" ht="14.25" customHeight="1">
      <c r="Q357" s="3"/>
      <c r="R357" s="3"/>
      <c r="U357" s="3"/>
    </row>
    <row r="358" spans="17:21" ht="14.25" customHeight="1">
      <c r="Q358" s="3"/>
      <c r="R358" s="3"/>
      <c r="U358" s="3"/>
    </row>
    <row r="359" spans="17:21" ht="14.25" customHeight="1">
      <c r="Q359" s="3"/>
      <c r="R359" s="3"/>
      <c r="U359" s="3"/>
    </row>
    <row r="360" spans="17:21" ht="14.25" customHeight="1">
      <c r="Q360" s="3"/>
      <c r="R360" s="3"/>
      <c r="U360" s="3"/>
    </row>
    <row r="361" spans="17:21" ht="14.25" customHeight="1">
      <c r="Q361" s="3"/>
      <c r="R361" s="3"/>
      <c r="U361" s="3"/>
    </row>
    <row r="362" spans="17:21" ht="14.25" customHeight="1">
      <c r="Q362" s="3"/>
      <c r="R362" s="3"/>
      <c r="U362" s="3"/>
    </row>
    <row r="363" spans="17:21" ht="14.25" customHeight="1">
      <c r="Q363" s="3"/>
      <c r="R363" s="3"/>
      <c r="U363" s="3"/>
    </row>
    <row r="364" spans="17:21" ht="14.25" customHeight="1">
      <c r="Q364" s="3"/>
      <c r="R364" s="3"/>
      <c r="U364" s="3"/>
    </row>
    <row r="365" spans="17:21" ht="14.25" customHeight="1">
      <c r="Q365" s="3"/>
      <c r="R365" s="3"/>
      <c r="U365" s="3"/>
    </row>
    <row r="366" spans="17:21" ht="14.25" customHeight="1">
      <c r="Q366" s="3"/>
      <c r="R366" s="3"/>
      <c r="U366" s="3"/>
    </row>
    <row r="367" spans="17:21" ht="14.25" customHeight="1">
      <c r="Q367" s="3"/>
      <c r="R367" s="3"/>
      <c r="U367" s="3"/>
    </row>
    <row r="368" spans="17:21" ht="14.25" customHeight="1">
      <c r="Q368" s="3"/>
      <c r="R368" s="3"/>
      <c r="U368" s="3"/>
    </row>
    <row r="369" spans="17:21" ht="14.25" customHeight="1">
      <c r="Q369" s="3"/>
      <c r="R369" s="3"/>
      <c r="U369" s="3"/>
    </row>
    <row r="370" spans="17:21" ht="14.25" customHeight="1">
      <c r="Q370" s="3"/>
      <c r="R370" s="3"/>
      <c r="U370" s="3"/>
    </row>
    <row r="371" spans="17:21" ht="14.25" customHeight="1">
      <c r="Q371" s="3"/>
      <c r="R371" s="3"/>
      <c r="U371" s="3"/>
    </row>
    <row r="372" spans="17:21" ht="14.25" customHeight="1">
      <c r="Q372" s="3"/>
      <c r="R372" s="3"/>
      <c r="U372" s="3"/>
    </row>
    <row r="373" spans="17:21" ht="14.25" customHeight="1">
      <c r="Q373" s="3"/>
      <c r="R373" s="3"/>
      <c r="U373" s="3"/>
    </row>
    <row r="374" spans="17:21" ht="14.25" customHeight="1">
      <c r="Q374" s="3"/>
      <c r="R374" s="3"/>
      <c r="U374" s="3"/>
    </row>
    <row r="375" spans="17:21" ht="14.25" customHeight="1">
      <c r="Q375" s="3"/>
      <c r="R375" s="3"/>
      <c r="U375" s="3"/>
    </row>
    <row r="376" spans="17:21" ht="14.25" customHeight="1">
      <c r="Q376" s="3"/>
      <c r="R376" s="3"/>
      <c r="U376" s="3"/>
    </row>
    <row r="377" spans="17:21" ht="14.25" customHeight="1">
      <c r="Q377" s="3"/>
      <c r="R377" s="3"/>
      <c r="U377" s="3"/>
    </row>
    <row r="378" spans="17:21" ht="14.25" customHeight="1">
      <c r="Q378" s="3"/>
      <c r="R378" s="3"/>
      <c r="U378" s="3"/>
    </row>
    <row r="379" spans="17:21" ht="14.25" customHeight="1">
      <c r="Q379" s="3"/>
      <c r="R379" s="3"/>
      <c r="U379" s="3"/>
    </row>
    <row r="380" spans="17:21" ht="14.25" customHeight="1">
      <c r="Q380" s="3"/>
      <c r="R380" s="3"/>
      <c r="U380" s="3"/>
    </row>
    <row r="381" spans="17:21" ht="14.25" customHeight="1">
      <c r="Q381" s="3"/>
      <c r="R381" s="3"/>
      <c r="U381" s="3"/>
    </row>
    <row r="382" spans="17:21" ht="14.25" customHeight="1">
      <c r="Q382" s="3"/>
      <c r="R382" s="3"/>
      <c r="U382" s="3"/>
    </row>
    <row r="383" spans="17:21" ht="14.25" customHeight="1">
      <c r="Q383" s="3"/>
      <c r="R383" s="3"/>
      <c r="U383" s="3"/>
    </row>
    <row r="384" spans="17:21" ht="14.25" customHeight="1">
      <c r="Q384" s="3"/>
      <c r="R384" s="3"/>
      <c r="U384" s="3"/>
    </row>
    <row r="385" spans="17:21" ht="14.25" customHeight="1">
      <c r="Q385" s="3"/>
      <c r="R385" s="3"/>
      <c r="U385" s="3"/>
    </row>
    <row r="386" spans="17:21" ht="14.25" customHeight="1">
      <c r="Q386" s="3"/>
      <c r="R386" s="3"/>
      <c r="U386" s="3"/>
    </row>
    <row r="387" spans="17:21" ht="14.25" customHeight="1">
      <c r="Q387" s="3"/>
      <c r="R387" s="3"/>
      <c r="U387" s="3"/>
    </row>
    <row r="388" spans="17:21" ht="14.25" customHeight="1">
      <c r="Q388" s="3"/>
      <c r="R388" s="3"/>
      <c r="U388" s="3"/>
    </row>
    <row r="389" spans="17:21" ht="14.25" customHeight="1">
      <c r="Q389" s="3"/>
      <c r="R389" s="3"/>
      <c r="U389" s="3"/>
    </row>
    <row r="390" spans="17:21" ht="14.25" customHeight="1">
      <c r="Q390" s="3"/>
      <c r="R390" s="3"/>
      <c r="U390" s="3"/>
    </row>
    <row r="391" spans="17:21" ht="14.25" customHeight="1">
      <c r="Q391" s="3"/>
      <c r="R391" s="3"/>
      <c r="U391" s="3"/>
    </row>
    <row r="392" spans="17:21" ht="14.25" customHeight="1">
      <c r="Q392" s="3"/>
      <c r="R392" s="3"/>
      <c r="U392" s="3"/>
    </row>
    <row r="393" spans="17:21" ht="14.25" customHeight="1">
      <c r="Q393" s="3"/>
      <c r="R393" s="3"/>
      <c r="U393" s="3"/>
    </row>
    <row r="394" spans="17:21" ht="14.25" customHeight="1">
      <c r="Q394" s="3"/>
      <c r="R394" s="3"/>
      <c r="U394" s="3"/>
    </row>
    <row r="395" spans="17:21" ht="14.25" customHeight="1">
      <c r="Q395" s="3"/>
      <c r="R395" s="3"/>
      <c r="U395" s="3"/>
    </row>
    <row r="396" spans="17:21" ht="14.25" customHeight="1">
      <c r="Q396" s="3"/>
      <c r="R396" s="3"/>
      <c r="U396" s="3"/>
    </row>
    <row r="397" spans="17:21" ht="14.25" customHeight="1">
      <c r="Q397" s="3"/>
      <c r="R397" s="3"/>
      <c r="U397" s="3"/>
    </row>
    <row r="398" spans="17:21" ht="14.25" customHeight="1">
      <c r="Q398" s="3"/>
      <c r="R398" s="3"/>
      <c r="U398" s="3"/>
    </row>
    <row r="399" spans="17:21" ht="14.25" customHeight="1">
      <c r="Q399" s="3"/>
      <c r="R399" s="3"/>
      <c r="U399" s="3"/>
    </row>
    <row r="400" spans="17:21" ht="14.25" customHeight="1">
      <c r="Q400" s="3"/>
      <c r="R400" s="3"/>
      <c r="U400" s="3"/>
    </row>
    <row r="401" spans="17:21" ht="14.25" customHeight="1">
      <c r="Q401" s="3"/>
      <c r="R401" s="3"/>
      <c r="U401" s="3"/>
    </row>
    <row r="402" spans="17:21" ht="14.25" customHeight="1">
      <c r="Q402" s="3"/>
      <c r="R402" s="3"/>
      <c r="U402" s="3"/>
    </row>
    <row r="403" spans="17:21" ht="14.25" customHeight="1">
      <c r="Q403" s="3"/>
      <c r="R403" s="3"/>
      <c r="U403" s="3"/>
    </row>
    <row r="404" spans="17:21" ht="14.25" customHeight="1">
      <c r="Q404" s="3"/>
      <c r="R404" s="3"/>
      <c r="U404" s="3"/>
    </row>
    <row r="405" spans="17:21" ht="14.25" customHeight="1">
      <c r="Q405" s="3"/>
      <c r="R405" s="3"/>
      <c r="U405" s="3"/>
    </row>
    <row r="406" spans="17:21" ht="14.25" customHeight="1">
      <c r="Q406" s="3"/>
      <c r="R406" s="3"/>
      <c r="U406" s="3"/>
    </row>
    <row r="407" spans="17:21" ht="14.25" customHeight="1">
      <c r="Q407" s="3"/>
      <c r="R407" s="3"/>
      <c r="U407" s="3"/>
    </row>
    <row r="408" spans="17:21" ht="14.25" customHeight="1">
      <c r="Q408" s="3"/>
      <c r="R408" s="3"/>
      <c r="U408" s="3"/>
    </row>
    <row r="409" spans="17:21" ht="14.25" customHeight="1">
      <c r="Q409" s="3"/>
      <c r="R409" s="3"/>
      <c r="U409" s="3"/>
    </row>
    <row r="410" spans="17:21" ht="14.25" customHeight="1">
      <c r="Q410" s="3"/>
      <c r="R410" s="3"/>
      <c r="U410" s="3"/>
    </row>
    <row r="411" spans="17:21" ht="14.25" customHeight="1">
      <c r="Q411" s="3"/>
      <c r="R411" s="3"/>
      <c r="U411" s="3"/>
    </row>
    <row r="412" spans="17:21" ht="14.25" customHeight="1">
      <c r="Q412" s="3"/>
      <c r="R412" s="3"/>
      <c r="U412" s="3"/>
    </row>
    <row r="413" spans="17:21" ht="14.25" customHeight="1">
      <c r="Q413" s="3"/>
      <c r="R413" s="3"/>
      <c r="U413" s="3"/>
    </row>
    <row r="414" spans="17:21" ht="14.25" customHeight="1">
      <c r="Q414" s="3"/>
      <c r="R414" s="3"/>
      <c r="U414" s="3"/>
    </row>
    <row r="415" spans="17:21" ht="14.25" customHeight="1">
      <c r="Q415" s="3"/>
      <c r="R415" s="3"/>
      <c r="U415" s="3"/>
    </row>
    <row r="416" spans="17:21" ht="14.25" customHeight="1">
      <c r="Q416" s="3"/>
      <c r="R416" s="3"/>
      <c r="U416" s="3"/>
    </row>
    <row r="417" spans="17:21" ht="14.25" customHeight="1">
      <c r="Q417" s="3"/>
      <c r="R417" s="3"/>
      <c r="U417" s="3"/>
    </row>
    <row r="418" spans="17:21" ht="14.25" customHeight="1">
      <c r="Q418" s="3"/>
      <c r="R418" s="3"/>
      <c r="U418" s="3"/>
    </row>
    <row r="419" spans="17:21" ht="14.25" customHeight="1">
      <c r="Q419" s="3"/>
      <c r="R419" s="3"/>
      <c r="U419" s="3"/>
    </row>
    <row r="420" spans="17:21" ht="14.25" customHeight="1">
      <c r="Q420" s="3"/>
      <c r="R420" s="3"/>
      <c r="U420" s="3"/>
    </row>
    <row r="421" spans="17:21" ht="14.25" customHeight="1">
      <c r="Q421" s="3"/>
      <c r="R421" s="3"/>
      <c r="U421" s="3"/>
    </row>
    <row r="422" spans="17:21" ht="14.25" customHeight="1">
      <c r="Q422" s="3"/>
      <c r="R422" s="3"/>
      <c r="U422" s="3"/>
    </row>
    <row r="423" spans="17:21" ht="14.25" customHeight="1">
      <c r="Q423" s="3"/>
      <c r="R423" s="3"/>
      <c r="U423" s="3"/>
    </row>
    <row r="424" spans="17:21" ht="14.25" customHeight="1">
      <c r="Q424" s="3"/>
      <c r="R424" s="3"/>
      <c r="U424" s="3"/>
    </row>
    <row r="425" spans="17:21" ht="14.25" customHeight="1">
      <c r="Q425" s="3"/>
      <c r="R425" s="3"/>
      <c r="U425" s="3"/>
    </row>
    <row r="426" spans="17:21" ht="14.25" customHeight="1">
      <c r="Q426" s="3"/>
      <c r="R426" s="3"/>
      <c r="U426" s="3"/>
    </row>
    <row r="427" spans="17:21" ht="14.25" customHeight="1">
      <c r="Q427" s="3"/>
      <c r="R427" s="3"/>
      <c r="U427" s="3"/>
    </row>
    <row r="428" spans="17:21" ht="14.25" customHeight="1">
      <c r="Q428" s="3"/>
      <c r="R428" s="3"/>
      <c r="U428" s="3"/>
    </row>
    <row r="429" spans="17:21" ht="14.25" customHeight="1">
      <c r="Q429" s="3"/>
      <c r="R429" s="3"/>
      <c r="U429" s="3"/>
    </row>
    <row r="430" spans="17:21" ht="14.25" customHeight="1">
      <c r="Q430" s="3"/>
      <c r="R430" s="3"/>
      <c r="U430" s="3"/>
    </row>
    <row r="431" spans="17:21" ht="14.25" customHeight="1">
      <c r="Q431" s="3"/>
      <c r="R431" s="3"/>
      <c r="U431" s="3"/>
    </row>
    <row r="432" spans="17:21" ht="14.25" customHeight="1">
      <c r="Q432" s="3"/>
      <c r="R432" s="3"/>
      <c r="U432" s="3"/>
    </row>
    <row r="433" spans="17:21" ht="14.25" customHeight="1">
      <c r="Q433" s="3"/>
      <c r="R433" s="3"/>
      <c r="U433" s="3"/>
    </row>
    <row r="434" spans="17:21" ht="14.25" customHeight="1">
      <c r="Q434" s="3"/>
      <c r="R434" s="3"/>
      <c r="U434" s="3"/>
    </row>
    <row r="435" spans="17:21" ht="14.25" customHeight="1">
      <c r="Q435" s="3"/>
      <c r="R435" s="3"/>
      <c r="U435" s="3"/>
    </row>
    <row r="436" spans="17:21" ht="14.25" customHeight="1">
      <c r="Q436" s="3"/>
      <c r="R436" s="3"/>
      <c r="U436" s="3"/>
    </row>
    <row r="437" spans="17:21" ht="14.25" customHeight="1">
      <c r="Q437" s="3"/>
      <c r="R437" s="3"/>
      <c r="U437" s="3"/>
    </row>
    <row r="438" spans="17:21" ht="14.25" customHeight="1">
      <c r="Q438" s="3"/>
      <c r="R438" s="3"/>
      <c r="U438" s="3"/>
    </row>
    <row r="439" spans="17:21" ht="14.25" customHeight="1">
      <c r="Q439" s="3"/>
      <c r="R439" s="3"/>
      <c r="U439" s="3"/>
    </row>
    <row r="440" spans="17:21" ht="14.25" customHeight="1">
      <c r="Q440" s="3"/>
      <c r="R440" s="3"/>
      <c r="U440" s="3"/>
    </row>
    <row r="441" spans="17:21" ht="14.25" customHeight="1">
      <c r="Q441" s="3"/>
      <c r="R441" s="3"/>
      <c r="U441" s="3"/>
    </row>
    <row r="442" spans="17:21" ht="14.25" customHeight="1">
      <c r="Q442" s="3"/>
      <c r="R442" s="3"/>
      <c r="U442" s="3"/>
    </row>
    <row r="443" spans="17:21" ht="14.25" customHeight="1">
      <c r="Q443" s="3"/>
      <c r="R443" s="3"/>
      <c r="U443" s="3"/>
    </row>
    <row r="444" spans="17:21" ht="14.25" customHeight="1">
      <c r="Q444" s="3"/>
      <c r="R444" s="3"/>
      <c r="U444" s="3"/>
    </row>
    <row r="445" spans="17:21" ht="14.25" customHeight="1">
      <c r="Q445" s="3"/>
      <c r="R445" s="3"/>
      <c r="U445" s="3"/>
    </row>
    <row r="446" spans="17:21" ht="14.25" customHeight="1">
      <c r="Q446" s="3"/>
      <c r="R446" s="3"/>
      <c r="U446" s="3"/>
    </row>
    <row r="447" spans="17:21" ht="14.25" customHeight="1">
      <c r="Q447" s="3"/>
      <c r="R447" s="3"/>
      <c r="U447" s="3"/>
    </row>
    <row r="448" spans="17:21" ht="14.25" customHeight="1">
      <c r="Q448" s="3"/>
      <c r="R448" s="3"/>
      <c r="U448" s="3"/>
    </row>
    <row r="449" spans="17:21" ht="14.25" customHeight="1">
      <c r="Q449" s="3"/>
      <c r="R449" s="3"/>
      <c r="U449" s="3"/>
    </row>
    <row r="450" spans="17:21" ht="14.25" customHeight="1">
      <c r="Q450" s="3"/>
      <c r="R450" s="3"/>
      <c r="U450" s="3"/>
    </row>
    <row r="451" spans="17:21" ht="14.25" customHeight="1">
      <c r="Q451" s="3"/>
      <c r="R451" s="3"/>
      <c r="U451" s="3"/>
    </row>
    <row r="452" spans="17:21" ht="14.25" customHeight="1">
      <c r="Q452" s="3"/>
      <c r="R452" s="3"/>
      <c r="U452" s="3"/>
    </row>
    <row r="453" spans="17:21" ht="14.25" customHeight="1">
      <c r="Q453" s="3"/>
      <c r="R453" s="3"/>
      <c r="U453" s="3"/>
    </row>
    <row r="454" spans="17:21" ht="14.25" customHeight="1">
      <c r="Q454" s="3"/>
      <c r="R454" s="3"/>
      <c r="U454" s="3"/>
    </row>
    <row r="455" spans="17:21" ht="14.25" customHeight="1">
      <c r="Q455" s="3"/>
      <c r="R455" s="3"/>
      <c r="U455" s="3"/>
    </row>
    <row r="456" spans="17:21" ht="14.25" customHeight="1">
      <c r="Q456" s="3"/>
      <c r="R456" s="3"/>
      <c r="U456" s="3"/>
    </row>
    <row r="457" spans="17:21" ht="14.25" customHeight="1">
      <c r="Q457" s="3"/>
      <c r="R457" s="3"/>
      <c r="U457" s="3"/>
    </row>
    <row r="458" spans="17:21" ht="14.25" customHeight="1">
      <c r="Q458" s="3"/>
      <c r="R458" s="3"/>
      <c r="U458" s="3"/>
    </row>
    <row r="459" spans="17:21" ht="14.25" customHeight="1">
      <c r="Q459" s="3"/>
      <c r="R459" s="3"/>
      <c r="U459" s="3"/>
    </row>
    <row r="460" spans="17:21" ht="14.25" customHeight="1">
      <c r="Q460" s="3"/>
      <c r="R460" s="3"/>
      <c r="U460" s="3"/>
    </row>
    <row r="461" spans="17:21" ht="14.25" customHeight="1">
      <c r="Q461" s="3"/>
      <c r="R461" s="3"/>
      <c r="U461" s="3"/>
    </row>
    <row r="462" spans="17:21" ht="14.25" customHeight="1">
      <c r="Q462" s="3"/>
      <c r="R462" s="3"/>
      <c r="U462" s="3"/>
    </row>
    <row r="463" spans="17:21" ht="14.25" customHeight="1">
      <c r="Q463" s="3"/>
      <c r="R463" s="3"/>
      <c r="U463" s="3"/>
    </row>
    <row r="464" spans="17:21" ht="14.25" customHeight="1">
      <c r="Q464" s="3"/>
      <c r="R464" s="3"/>
      <c r="U464" s="3"/>
    </row>
    <row r="465" spans="17:21" ht="14.25" customHeight="1">
      <c r="Q465" s="3"/>
      <c r="R465" s="3"/>
      <c r="U465" s="3"/>
    </row>
    <row r="466" spans="17:21" ht="14.25" customHeight="1">
      <c r="Q466" s="3"/>
      <c r="R466" s="3"/>
      <c r="U466" s="3"/>
    </row>
    <row r="467" spans="17:21" ht="14.25" customHeight="1">
      <c r="Q467" s="3"/>
      <c r="R467" s="3"/>
      <c r="U467" s="3"/>
    </row>
    <row r="468" spans="17:21" ht="14.25" customHeight="1">
      <c r="Q468" s="3"/>
      <c r="R468" s="3"/>
      <c r="U468" s="3"/>
    </row>
    <row r="469" spans="17:21" ht="14.25" customHeight="1">
      <c r="Q469" s="3"/>
      <c r="R469" s="3"/>
      <c r="U469" s="3"/>
    </row>
    <row r="470" spans="17:21" ht="14.25" customHeight="1">
      <c r="Q470" s="3"/>
      <c r="R470" s="3"/>
      <c r="U470" s="3"/>
    </row>
    <row r="471" spans="17:21" ht="14.25" customHeight="1">
      <c r="Q471" s="3"/>
      <c r="R471" s="3"/>
      <c r="U471" s="3"/>
    </row>
    <row r="472" spans="17:21" ht="14.25" customHeight="1">
      <c r="Q472" s="3"/>
      <c r="R472" s="3"/>
      <c r="U472" s="3"/>
    </row>
    <row r="473" spans="17:21" ht="14.25" customHeight="1">
      <c r="Q473" s="3"/>
      <c r="R473" s="3"/>
      <c r="U473" s="3"/>
    </row>
    <row r="474" spans="17:21" ht="14.25" customHeight="1">
      <c r="Q474" s="3"/>
      <c r="R474" s="3"/>
      <c r="U474" s="3"/>
    </row>
    <row r="475" spans="17:21" ht="14.25" customHeight="1">
      <c r="Q475" s="3"/>
      <c r="R475" s="3"/>
      <c r="U475" s="3"/>
    </row>
    <row r="476" spans="17:21" ht="14.25" customHeight="1">
      <c r="Q476" s="3"/>
      <c r="R476" s="3"/>
      <c r="U476" s="3"/>
    </row>
    <row r="477" spans="17:21" ht="14.25" customHeight="1">
      <c r="Q477" s="3"/>
      <c r="R477" s="3"/>
      <c r="U477" s="3"/>
    </row>
    <row r="478" spans="17:21" ht="14.25" customHeight="1">
      <c r="Q478" s="3"/>
      <c r="R478" s="3"/>
      <c r="U478" s="3"/>
    </row>
    <row r="479" spans="17:21" ht="14.25" customHeight="1">
      <c r="Q479" s="3"/>
      <c r="R479" s="3"/>
      <c r="U479" s="3"/>
    </row>
    <row r="480" spans="17:21" ht="14.25" customHeight="1">
      <c r="Q480" s="3"/>
      <c r="R480" s="3"/>
      <c r="U480" s="3"/>
    </row>
    <row r="481" spans="17:21" ht="14.25" customHeight="1">
      <c r="Q481" s="3"/>
      <c r="R481" s="3"/>
      <c r="U481" s="3"/>
    </row>
    <row r="482" spans="17:21" ht="14.25" customHeight="1">
      <c r="Q482" s="3"/>
      <c r="R482" s="3"/>
      <c r="U482" s="3"/>
    </row>
    <row r="483" spans="17:21" ht="14.25" customHeight="1">
      <c r="Q483" s="3"/>
      <c r="R483" s="3"/>
      <c r="U483" s="3"/>
    </row>
    <row r="484" spans="17:21" ht="14.25" customHeight="1">
      <c r="Q484" s="3"/>
      <c r="R484" s="3"/>
      <c r="U484" s="3"/>
    </row>
    <row r="485" spans="17:21" ht="14.25" customHeight="1">
      <c r="Q485" s="3"/>
      <c r="R485" s="3"/>
      <c r="U485" s="3"/>
    </row>
    <row r="486" spans="17:21" ht="14.25" customHeight="1">
      <c r="Q486" s="3"/>
      <c r="R486" s="3"/>
      <c r="U486" s="3"/>
    </row>
    <row r="487" spans="17:21" ht="14.25" customHeight="1">
      <c r="Q487" s="3"/>
      <c r="R487" s="3"/>
      <c r="U487" s="3"/>
    </row>
    <row r="488" spans="17:21" ht="14.25" customHeight="1">
      <c r="Q488" s="3"/>
      <c r="R488" s="3"/>
      <c r="U488" s="3"/>
    </row>
    <row r="489" spans="17:21" ht="14.25" customHeight="1">
      <c r="Q489" s="3"/>
      <c r="R489" s="3"/>
      <c r="U489" s="3"/>
    </row>
    <row r="490" spans="17:21" ht="14.25" customHeight="1">
      <c r="Q490" s="3"/>
      <c r="R490" s="3"/>
      <c r="U490" s="3"/>
    </row>
    <row r="491" spans="17:21" ht="14.25" customHeight="1">
      <c r="Q491" s="3"/>
      <c r="R491" s="3"/>
      <c r="U491" s="3"/>
    </row>
    <row r="492" spans="17:21" ht="14.25" customHeight="1">
      <c r="Q492" s="3"/>
      <c r="R492" s="3"/>
      <c r="U492" s="3"/>
    </row>
    <row r="493" spans="17:21" ht="14.25" customHeight="1">
      <c r="Q493" s="3"/>
      <c r="R493" s="3"/>
      <c r="U493" s="3"/>
    </row>
    <row r="494" spans="17:21" ht="14.25" customHeight="1">
      <c r="Q494" s="3"/>
      <c r="R494" s="3"/>
      <c r="U494" s="3"/>
    </row>
    <row r="495" spans="17:21" ht="14.25" customHeight="1">
      <c r="Q495" s="3"/>
      <c r="R495" s="3"/>
      <c r="U495" s="3"/>
    </row>
    <row r="496" spans="17:21" ht="14.25" customHeight="1">
      <c r="Q496" s="3"/>
      <c r="R496" s="3"/>
      <c r="U496" s="3"/>
    </row>
    <row r="497" spans="17:21" ht="14.25" customHeight="1">
      <c r="Q497" s="3"/>
      <c r="R497" s="3"/>
      <c r="U497" s="3"/>
    </row>
    <row r="498" spans="17:21" ht="14.25" customHeight="1">
      <c r="Q498" s="3"/>
      <c r="R498" s="3"/>
      <c r="U498" s="3"/>
    </row>
    <row r="499" spans="17:21" ht="14.25" customHeight="1">
      <c r="Q499" s="3"/>
      <c r="R499" s="3"/>
      <c r="U499" s="3"/>
    </row>
    <row r="500" spans="17:21" ht="14.25" customHeight="1">
      <c r="Q500" s="3"/>
      <c r="R500" s="3"/>
      <c r="U500" s="3"/>
    </row>
    <row r="501" spans="17:21" ht="14.25" customHeight="1">
      <c r="Q501" s="3"/>
      <c r="R501" s="3"/>
      <c r="U501" s="3"/>
    </row>
    <row r="502" spans="17:21" ht="14.25" customHeight="1">
      <c r="Q502" s="3"/>
      <c r="R502" s="3"/>
      <c r="U502" s="3"/>
    </row>
    <row r="503" spans="17:21" ht="14.25" customHeight="1">
      <c r="Q503" s="3"/>
      <c r="R503" s="3"/>
      <c r="U503" s="3"/>
    </row>
    <row r="504" spans="17:21" ht="14.25" customHeight="1">
      <c r="Q504" s="3"/>
      <c r="R504" s="3"/>
      <c r="U504" s="3"/>
    </row>
    <row r="505" spans="17:21" ht="14.25" customHeight="1">
      <c r="Q505" s="3"/>
      <c r="R505" s="3"/>
      <c r="U505" s="3"/>
    </row>
    <row r="506" spans="17:21" ht="14.25" customHeight="1">
      <c r="Q506" s="3"/>
      <c r="R506" s="3"/>
      <c r="U506" s="3"/>
    </row>
    <row r="507" spans="17:21" ht="14.25" customHeight="1">
      <c r="Q507" s="3"/>
      <c r="R507" s="3"/>
      <c r="U507" s="3"/>
    </row>
    <row r="508" spans="17:21" ht="14.25" customHeight="1">
      <c r="Q508" s="3"/>
      <c r="R508" s="3"/>
      <c r="U508" s="3"/>
    </row>
    <row r="509" spans="17:21" ht="14.25" customHeight="1">
      <c r="Q509" s="3"/>
      <c r="R509" s="3"/>
      <c r="U509" s="3"/>
    </row>
    <row r="510" spans="17:21" ht="14.25" customHeight="1">
      <c r="Q510" s="3"/>
      <c r="R510" s="3"/>
      <c r="U510" s="3"/>
    </row>
    <row r="511" spans="17:21" ht="14.25" customHeight="1">
      <c r="Q511" s="3"/>
      <c r="R511" s="3"/>
      <c r="U511" s="3"/>
    </row>
    <row r="512" spans="17:21" ht="14.25" customHeight="1">
      <c r="Q512" s="3"/>
      <c r="R512" s="3"/>
      <c r="U512" s="3"/>
    </row>
    <row r="513" spans="17:21" ht="14.25" customHeight="1">
      <c r="Q513" s="3"/>
      <c r="R513" s="3"/>
      <c r="U513" s="3"/>
    </row>
    <row r="514" spans="17:21" ht="14.25" customHeight="1">
      <c r="Q514" s="3"/>
      <c r="R514" s="3"/>
      <c r="U514" s="3"/>
    </row>
    <row r="515" spans="17:21" ht="14.25" customHeight="1">
      <c r="Q515" s="3"/>
      <c r="R515" s="3"/>
      <c r="U515" s="3"/>
    </row>
    <row r="516" spans="17:21" ht="14.25" customHeight="1">
      <c r="Q516" s="3"/>
      <c r="R516" s="3"/>
      <c r="U516" s="3"/>
    </row>
    <row r="517" spans="17:21" ht="14.25" customHeight="1">
      <c r="Q517" s="3"/>
      <c r="R517" s="3"/>
      <c r="U517" s="3"/>
    </row>
    <row r="518" spans="17:21" ht="14.25" customHeight="1">
      <c r="Q518" s="3"/>
      <c r="R518" s="3"/>
      <c r="U518" s="3"/>
    </row>
    <row r="519" spans="17:21" ht="14.25" customHeight="1">
      <c r="Q519" s="3"/>
      <c r="R519" s="3"/>
      <c r="U519" s="3"/>
    </row>
    <row r="520" spans="17:21" ht="14.25" customHeight="1">
      <c r="Q520" s="3"/>
      <c r="R520" s="3"/>
      <c r="U520" s="3"/>
    </row>
    <row r="521" spans="17:21" ht="14.25" customHeight="1">
      <c r="Q521" s="3"/>
      <c r="R521" s="3"/>
      <c r="U521" s="3"/>
    </row>
    <row r="522" spans="17:21" ht="14.25" customHeight="1">
      <c r="Q522" s="3"/>
      <c r="R522" s="3"/>
      <c r="U522" s="3"/>
    </row>
    <row r="523" spans="17:21" ht="14.25" customHeight="1">
      <c r="Q523" s="3"/>
      <c r="R523" s="3"/>
      <c r="U523" s="3"/>
    </row>
    <row r="524" spans="17:21" ht="14.25" customHeight="1">
      <c r="Q524" s="3"/>
      <c r="R524" s="3"/>
      <c r="U524" s="3"/>
    </row>
    <row r="525" spans="17:21" ht="14.25" customHeight="1">
      <c r="Q525" s="3"/>
      <c r="R525" s="3"/>
      <c r="U525" s="3"/>
    </row>
    <row r="526" spans="17:21" ht="14.25" customHeight="1">
      <c r="Q526" s="3"/>
      <c r="R526" s="3"/>
      <c r="U526" s="3"/>
    </row>
    <row r="527" spans="17:21" ht="14.25" customHeight="1">
      <c r="Q527" s="3"/>
      <c r="R527" s="3"/>
      <c r="U527" s="3"/>
    </row>
    <row r="528" spans="17:21" ht="14.25" customHeight="1">
      <c r="Q528" s="3"/>
      <c r="R528" s="3"/>
      <c r="U528" s="3"/>
    </row>
    <row r="529" spans="17:21" ht="14.25" customHeight="1">
      <c r="Q529" s="3"/>
      <c r="R529" s="3"/>
      <c r="U529" s="3"/>
    </row>
    <row r="530" spans="17:21" ht="14.25" customHeight="1">
      <c r="Q530" s="3"/>
      <c r="R530" s="3"/>
      <c r="U530" s="3"/>
    </row>
    <row r="531" spans="17:21" ht="14.25" customHeight="1">
      <c r="Q531" s="3"/>
      <c r="R531" s="3"/>
      <c r="U531" s="3"/>
    </row>
    <row r="532" spans="17:21" ht="14.25" customHeight="1">
      <c r="Q532" s="3"/>
      <c r="R532" s="3"/>
      <c r="U532" s="3"/>
    </row>
    <row r="533" spans="17:21" ht="14.25" customHeight="1">
      <c r="Q533" s="3"/>
      <c r="R533" s="3"/>
      <c r="U533" s="3"/>
    </row>
    <row r="534" spans="17:21" ht="14.25" customHeight="1">
      <c r="Q534" s="3"/>
      <c r="R534" s="3"/>
      <c r="U534" s="3"/>
    </row>
    <row r="535" spans="17:21" ht="14.25" customHeight="1">
      <c r="Q535" s="3"/>
      <c r="R535" s="3"/>
      <c r="U535" s="3"/>
    </row>
    <row r="536" spans="17:21" ht="14.25" customHeight="1">
      <c r="Q536" s="3"/>
      <c r="R536" s="3"/>
      <c r="U536" s="3"/>
    </row>
    <row r="537" spans="17:21" ht="14.25" customHeight="1">
      <c r="Q537" s="3"/>
      <c r="R537" s="3"/>
      <c r="U537" s="3"/>
    </row>
    <row r="538" spans="17:21" ht="14.25" customHeight="1">
      <c r="Q538" s="3"/>
      <c r="R538" s="3"/>
      <c r="U538" s="3"/>
    </row>
    <row r="539" spans="17:21" ht="14.25" customHeight="1">
      <c r="Q539" s="3"/>
      <c r="R539" s="3"/>
      <c r="U539" s="3"/>
    </row>
    <row r="540" spans="17:21" ht="14.25" customHeight="1">
      <c r="Q540" s="3"/>
      <c r="R540" s="3"/>
      <c r="U540" s="3"/>
    </row>
    <row r="541" spans="17:21" ht="14.25" customHeight="1">
      <c r="Q541" s="3"/>
      <c r="R541" s="3"/>
      <c r="U541" s="3"/>
    </row>
    <row r="542" spans="17:21" ht="14.25" customHeight="1">
      <c r="Q542" s="3"/>
      <c r="R542" s="3"/>
      <c r="U542" s="3"/>
    </row>
    <row r="543" spans="17:21" ht="14.25" customHeight="1">
      <c r="Q543" s="3"/>
      <c r="R543" s="3"/>
      <c r="U543" s="3"/>
    </row>
    <row r="544" spans="17:21" ht="14.25" customHeight="1">
      <c r="Q544" s="3"/>
      <c r="R544" s="3"/>
      <c r="U544" s="3"/>
    </row>
    <row r="545" spans="17:21" ht="14.25" customHeight="1">
      <c r="Q545" s="3"/>
      <c r="R545" s="3"/>
      <c r="U545" s="3"/>
    </row>
    <row r="546" spans="17:21" ht="14.25" customHeight="1">
      <c r="Q546" s="3"/>
      <c r="R546" s="3"/>
      <c r="U546" s="3"/>
    </row>
    <row r="547" spans="17:21" ht="14.25" customHeight="1">
      <c r="Q547" s="3"/>
      <c r="R547" s="3"/>
      <c r="U547" s="3"/>
    </row>
    <row r="548" spans="17:21" ht="14.25" customHeight="1">
      <c r="Q548" s="3"/>
      <c r="R548" s="3"/>
      <c r="U548" s="3"/>
    </row>
    <row r="549" spans="17:21" ht="14.25" customHeight="1">
      <c r="Q549" s="3"/>
      <c r="R549" s="3"/>
      <c r="U549" s="3"/>
    </row>
    <row r="550" spans="17:21" ht="14.25" customHeight="1">
      <c r="Q550" s="3"/>
      <c r="R550" s="3"/>
      <c r="U550" s="3"/>
    </row>
    <row r="551" spans="17:21" ht="14.25" customHeight="1">
      <c r="Q551" s="3"/>
      <c r="R551" s="3"/>
      <c r="U551" s="3"/>
    </row>
    <row r="552" spans="17:21" ht="14.25" customHeight="1">
      <c r="Q552" s="3"/>
      <c r="R552" s="3"/>
      <c r="U552" s="3"/>
    </row>
    <row r="553" spans="17:21" ht="14.25" customHeight="1">
      <c r="Q553" s="3"/>
      <c r="R553" s="3"/>
      <c r="U553" s="3"/>
    </row>
    <row r="554" spans="17:21" ht="14.25" customHeight="1">
      <c r="Q554" s="3"/>
      <c r="R554" s="3"/>
      <c r="U554" s="3"/>
    </row>
    <row r="555" spans="17:21" ht="14.25" customHeight="1">
      <c r="Q555" s="3"/>
      <c r="R555" s="3"/>
      <c r="U555" s="3"/>
    </row>
    <row r="556" spans="17:21" ht="14.25" customHeight="1">
      <c r="Q556" s="3"/>
      <c r="R556" s="3"/>
      <c r="U556" s="3"/>
    </row>
    <row r="557" spans="17:21" ht="14.25" customHeight="1">
      <c r="Q557" s="3"/>
      <c r="R557" s="3"/>
      <c r="U557" s="3"/>
    </row>
    <row r="558" spans="17:21" ht="14.25" customHeight="1">
      <c r="Q558" s="3"/>
      <c r="R558" s="3"/>
      <c r="U558" s="3"/>
    </row>
    <row r="559" spans="17:21" ht="14.25" customHeight="1">
      <c r="Q559" s="3"/>
      <c r="R559" s="3"/>
      <c r="U559" s="3"/>
    </row>
    <row r="560" spans="17:21" ht="14.25" customHeight="1">
      <c r="Q560" s="3"/>
      <c r="R560" s="3"/>
      <c r="U560" s="3"/>
    </row>
    <row r="561" spans="17:21" ht="14.25" customHeight="1">
      <c r="Q561" s="3"/>
      <c r="R561" s="3"/>
      <c r="U561" s="3"/>
    </row>
    <row r="562" spans="17:21" ht="14.25" customHeight="1">
      <c r="Q562" s="3"/>
      <c r="R562" s="3"/>
      <c r="U562" s="3"/>
    </row>
    <row r="563" spans="17:21" ht="14.25" customHeight="1">
      <c r="Q563" s="3"/>
      <c r="R563" s="3"/>
      <c r="U563" s="3"/>
    </row>
    <row r="564" spans="17:21" ht="14.25" customHeight="1">
      <c r="Q564" s="3"/>
      <c r="R564" s="3"/>
      <c r="U564" s="3"/>
    </row>
    <row r="565" spans="17:21" ht="14.25" customHeight="1">
      <c r="Q565" s="3"/>
      <c r="R565" s="3"/>
      <c r="U565" s="3"/>
    </row>
    <row r="566" spans="17:21" ht="14.25" customHeight="1">
      <c r="Q566" s="3"/>
      <c r="R566" s="3"/>
      <c r="U566" s="3"/>
    </row>
    <row r="567" spans="17:21" ht="14.25" customHeight="1">
      <c r="Q567" s="3"/>
      <c r="R567" s="3"/>
      <c r="U567" s="3"/>
    </row>
    <row r="568" spans="17:21" ht="14.25" customHeight="1">
      <c r="Q568" s="3"/>
      <c r="R568" s="3"/>
      <c r="U568" s="3"/>
    </row>
    <row r="569" spans="17:21" ht="14.25" customHeight="1">
      <c r="Q569" s="3"/>
      <c r="R569" s="3"/>
      <c r="U569" s="3"/>
    </row>
    <row r="570" spans="17:21" ht="14.25" customHeight="1">
      <c r="Q570" s="3"/>
      <c r="R570" s="3"/>
      <c r="U570" s="3"/>
    </row>
    <row r="571" spans="17:21" ht="14.25" customHeight="1">
      <c r="Q571" s="3"/>
      <c r="R571" s="3"/>
      <c r="U571" s="3"/>
    </row>
    <row r="572" spans="17:21" ht="14.25" customHeight="1">
      <c r="Q572" s="3"/>
      <c r="R572" s="3"/>
      <c r="U572" s="3"/>
    </row>
    <row r="573" spans="17:21" ht="14.25" customHeight="1">
      <c r="Q573" s="3"/>
      <c r="R573" s="3"/>
      <c r="U573" s="3"/>
    </row>
    <row r="574" spans="17:21" ht="14.25" customHeight="1">
      <c r="Q574" s="3"/>
      <c r="R574" s="3"/>
      <c r="U574" s="3"/>
    </row>
    <row r="575" spans="17:21" ht="14.25" customHeight="1">
      <c r="Q575" s="3"/>
      <c r="R575" s="3"/>
      <c r="U575" s="3"/>
    </row>
    <row r="576" spans="17:21" ht="14.25" customHeight="1">
      <c r="Q576" s="3"/>
      <c r="R576" s="3"/>
      <c r="U576" s="3"/>
    </row>
    <row r="577" spans="17:21" ht="14.25" customHeight="1">
      <c r="Q577" s="3"/>
      <c r="R577" s="3"/>
      <c r="U577" s="3"/>
    </row>
    <row r="578" spans="17:21" ht="14.25" customHeight="1">
      <c r="Q578" s="3"/>
      <c r="R578" s="3"/>
      <c r="U578" s="3"/>
    </row>
    <row r="579" spans="17:21" ht="14.25" customHeight="1">
      <c r="Q579" s="3"/>
      <c r="R579" s="3"/>
      <c r="U579" s="3"/>
    </row>
    <row r="580" spans="17:21" ht="14.25" customHeight="1">
      <c r="Q580" s="3"/>
      <c r="R580" s="3"/>
      <c r="U580" s="3"/>
    </row>
    <row r="581" spans="17:21" ht="14.25" customHeight="1">
      <c r="Q581" s="3"/>
      <c r="R581" s="3"/>
      <c r="U581" s="3"/>
    </row>
    <row r="582" spans="17:21" ht="14.25" customHeight="1">
      <c r="Q582" s="3"/>
      <c r="R582" s="3"/>
      <c r="U582" s="3"/>
    </row>
    <row r="583" spans="17:21" ht="14.25" customHeight="1">
      <c r="Q583" s="3"/>
      <c r="R583" s="3"/>
      <c r="U583" s="3"/>
    </row>
    <row r="584" spans="17:21" ht="14.25" customHeight="1">
      <c r="Q584" s="3"/>
      <c r="R584" s="3"/>
      <c r="U584" s="3"/>
    </row>
    <row r="585" spans="17:21" ht="14.25" customHeight="1">
      <c r="Q585" s="3"/>
      <c r="R585" s="3"/>
      <c r="U585" s="3"/>
    </row>
    <row r="586" spans="17:21" ht="14.25" customHeight="1">
      <c r="Q586" s="3"/>
      <c r="R586" s="3"/>
      <c r="U586" s="3"/>
    </row>
    <row r="587" spans="17:21" ht="14.25" customHeight="1">
      <c r="Q587" s="3"/>
      <c r="R587" s="3"/>
      <c r="U587" s="3"/>
    </row>
    <row r="588" spans="17:21" ht="14.25" customHeight="1">
      <c r="Q588" s="3"/>
      <c r="R588" s="3"/>
      <c r="U588" s="3"/>
    </row>
    <row r="589" spans="17:21" ht="14.25" customHeight="1">
      <c r="Q589" s="3"/>
      <c r="R589" s="3"/>
      <c r="U589" s="3"/>
    </row>
    <row r="590" spans="17:21" ht="14.25" customHeight="1">
      <c r="Q590" s="3"/>
      <c r="R590" s="3"/>
      <c r="U590" s="3"/>
    </row>
    <row r="591" spans="17:21" ht="14.25" customHeight="1">
      <c r="Q591" s="3"/>
      <c r="R591" s="3"/>
      <c r="U591" s="3"/>
    </row>
    <row r="592" spans="17:21" ht="14.25" customHeight="1">
      <c r="Q592" s="3"/>
      <c r="R592" s="3"/>
      <c r="U592" s="3"/>
    </row>
    <row r="593" spans="17:21" ht="14.25" customHeight="1">
      <c r="Q593" s="3"/>
      <c r="R593" s="3"/>
      <c r="U593" s="3"/>
    </row>
    <row r="594" spans="17:21" ht="14.25" customHeight="1">
      <c r="Q594" s="3"/>
      <c r="R594" s="3"/>
      <c r="U594" s="3"/>
    </row>
    <row r="595" spans="17:21" ht="14.25" customHeight="1">
      <c r="Q595" s="3"/>
      <c r="R595" s="3"/>
      <c r="U595" s="3"/>
    </row>
    <row r="596" spans="17:21" ht="14.25" customHeight="1">
      <c r="Q596" s="3"/>
      <c r="R596" s="3"/>
      <c r="U596" s="3"/>
    </row>
    <row r="597" spans="17:21" ht="14.25" customHeight="1">
      <c r="Q597" s="3"/>
      <c r="R597" s="3"/>
      <c r="U597" s="3"/>
    </row>
    <row r="598" spans="17:21" ht="14.25" customHeight="1">
      <c r="Q598" s="3"/>
      <c r="R598" s="3"/>
      <c r="U598" s="3"/>
    </row>
    <row r="599" spans="17:21" ht="14.25" customHeight="1">
      <c r="Q599" s="3"/>
      <c r="R599" s="3"/>
      <c r="U599" s="3"/>
    </row>
    <row r="600" spans="17:21" ht="14.25" customHeight="1">
      <c r="Q600" s="3"/>
      <c r="R600" s="3"/>
      <c r="U600" s="3"/>
    </row>
    <row r="601" spans="17:21" ht="14.25" customHeight="1">
      <c r="Q601" s="3"/>
      <c r="R601" s="3"/>
      <c r="U601" s="3"/>
    </row>
    <row r="602" spans="17:21" ht="14.25" customHeight="1">
      <c r="Q602" s="3"/>
      <c r="R602" s="3"/>
      <c r="U602" s="3"/>
    </row>
    <row r="603" spans="17:21" ht="14.25" customHeight="1">
      <c r="Q603" s="3"/>
      <c r="R603" s="3"/>
      <c r="U603" s="3"/>
    </row>
    <row r="604" spans="17:21" ht="14.25" customHeight="1">
      <c r="Q604" s="3"/>
      <c r="R604" s="3"/>
      <c r="U604" s="3"/>
    </row>
    <row r="605" spans="17:21" ht="14.25" customHeight="1">
      <c r="Q605" s="3"/>
      <c r="R605" s="3"/>
      <c r="U605" s="3"/>
    </row>
    <row r="606" spans="17:21" ht="14.25" customHeight="1">
      <c r="Q606" s="3"/>
      <c r="R606" s="3"/>
      <c r="U606" s="3"/>
    </row>
    <row r="607" spans="17:21" ht="14.25" customHeight="1">
      <c r="Q607" s="3"/>
      <c r="R607" s="3"/>
      <c r="U607" s="3"/>
    </row>
    <row r="608" spans="17:21" ht="14.25" customHeight="1">
      <c r="Q608" s="3"/>
      <c r="R608" s="3"/>
      <c r="U608" s="3"/>
    </row>
    <row r="609" spans="17:21" ht="14.25" customHeight="1">
      <c r="Q609" s="3"/>
      <c r="R609" s="3"/>
      <c r="U609" s="3"/>
    </row>
    <row r="610" spans="17:21" ht="14.25" customHeight="1">
      <c r="Q610" s="3"/>
      <c r="R610" s="3"/>
      <c r="U610" s="3"/>
    </row>
    <row r="611" spans="17:21" ht="14.25" customHeight="1">
      <c r="Q611" s="3"/>
      <c r="R611" s="3"/>
      <c r="U611" s="3"/>
    </row>
    <row r="612" spans="17:21" ht="14.25" customHeight="1">
      <c r="Q612" s="3"/>
      <c r="R612" s="3"/>
      <c r="U612" s="3"/>
    </row>
    <row r="613" spans="17:21" ht="14.25" customHeight="1">
      <c r="Q613" s="3"/>
      <c r="R613" s="3"/>
      <c r="U613" s="3"/>
    </row>
    <row r="614" spans="17:21" ht="14.25" customHeight="1">
      <c r="Q614" s="3"/>
      <c r="R614" s="3"/>
      <c r="U614" s="3"/>
    </row>
    <row r="615" spans="17:21" ht="14.25" customHeight="1">
      <c r="Q615" s="3"/>
      <c r="R615" s="3"/>
      <c r="U615" s="3"/>
    </row>
    <row r="616" spans="17:21" ht="14.25" customHeight="1">
      <c r="Q616" s="3"/>
      <c r="R616" s="3"/>
      <c r="U616" s="3"/>
    </row>
    <row r="617" spans="17:21" ht="14.25" customHeight="1">
      <c r="Q617" s="3"/>
      <c r="R617" s="3"/>
      <c r="U617" s="3"/>
    </row>
    <row r="618" spans="17:21" ht="14.25" customHeight="1">
      <c r="Q618" s="3"/>
      <c r="R618" s="3"/>
      <c r="U618" s="3"/>
    </row>
    <row r="619" spans="17:21" ht="14.25" customHeight="1">
      <c r="Q619" s="3"/>
      <c r="R619" s="3"/>
      <c r="U619" s="3"/>
    </row>
    <row r="620" spans="17:21" ht="14.25" customHeight="1">
      <c r="Q620" s="3"/>
      <c r="R620" s="3"/>
      <c r="U620" s="3"/>
    </row>
    <row r="621" spans="17:21" ht="14.25" customHeight="1">
      <c r="Q621" s="3"/>
      <c r="R621" s="3"/>
      <c r="U621" s="3"/>
    </row>
    <row r="622" spans="17:21" ht="14.25" customHeight="1">
      <c r="Q622" s="3"/>
      <c r="R622" s="3"/>
      <c r="U622" s="3"/>
    </row>
    <row r="623" spans="17:21" ht="14.25" customHeight="1">
      <c r="Q623" s="3"/>
      <c r="R623" s="3"/>
      <c r="U623" s="3"/>
    </row>
    <row r="624" spans="17:21" ht="14.25" customHeight="1">
      <c r="Q624" s="3"/>
      <c r="R624" s="3"/>
      <c r="U624" s="3"/>
    </row>
    <row r="625" spans="17:21" ht="14.25" customHeight="1">
      <c r="Q625" s="3"/>
      <c r="R625" s="3"/>
      <c r="U625" s="3"/>
    </row>
    <row r="626" spans="17:21" ht="14.25" customHeight="1">
      <c r="Q626" s="3"/>
      <c r="R626" s="3"/>
      <c r="U626" s="3"/>
    </row>
    <row r="627" spans="17:21" ht="14.25" customHeight="1">
      <c r="Q627" s="3"/>
      <c r="R627" s="3"/>
      <c r="U627" s="3"/>
    </row>
    <row r="628" spans="17:21" ht="14.25" customHeight="1">
      <c r="Q628" s="3"/>
      <c r="R628" s="3"/>
      <c r="U628" s="3"/>
    </row>
    <row r="629" spans="17:21" ht="14.25" customHeight="1">
      <c r="Q629" s="3"/>
      <c r="R629" s="3"/>
      <c r="U629" s="3"/>
    </row>
    <row r="630" spans="17:21" ht="14.25" customHeight="1">
      <c r="Q630" s="3"/>
      <c r="R630" s="3"/>
      <c r="U630" s="3"/>
    </row>
    <row r="631" spans="17:21" ht="14.25" customHeight="1">
      <c r="Q631" s="3"/>
      <c r="R631" s="3"/>
      <c r="U631" s="3"/>
    </row>
    <row r="632" spans="17:21" ht="14.25" customHeight="1">
      <c r="Q632" s="3"/>
      <c r="R632" s="3"/>
      <c r="U632" s="3"/>
    </row>
    <row r="633" spans="17:21" ht="14.25" customHeight="1">
      <c r="Q633" s="3"/>
      <c r="R633" s="3"/>
      <c r="U633" s="3"/>
    </row>
    <row r="634" spans="17:21" ht="14.25" customHeight="1">
      <c r="Q634" s="3"/>
      <c r="R634" s="3"/>
      <c r="U634" s="3"/>
    </row>
    <row r="635" spans="17:21" ht="14.25" customHeight="1">
      <c r="Q635" s="3"/>
      <c r="R635" s="3"/>
      <c r="U635" s="3"/>
    </row>
    <row r="636" spans="17:21" ht="14.25" customHeight="1">
      <c r="Q636" s="3"/>
      <c r="R636" s="3"/>
      <c r="U636" s="3"/>
    </row>
    <row r="637" spans="17:21" ht="14.25" customHeight="1">
      <c r="Q637" s="3"/>
      <c r="R637" s="3"/>
      <c r="U637" s="3"/>
    </row>
    <row r="638" spans="17:21" ht="14.25" customHeight="1">
      <c r="Q638" s="3"/>
      <c r="R638" s="3"/>
      <c r="U638" s="3"/>
    </row>
    <row r="639" spans="17:21" ht="14.25" customHeight="1">
      <c r="Q639" s="3"/>
      <c r="R639" s="3"/>
      <c r="U639" s="3"/>
    </row>
    <row r="640" spans="17:21" ht="14.25" customHeight="1">
      <c r="Q640" s="3"/>
      <c r="R640" s="3"/>
      <c r="U640" s="3"/>
    </row>
    <row r="641" spans="17:21" ht="14.25" customHeight="1">
      <c r="Q641" s="3"/>
      <c r="R641" s="3"/>
      <c r="U641" s="3"/>
    </row>
    <row r="642" spans="17:21" ht="14.25" customHeight="1">
      <c r="Q642" s="3"/>
      <c r="R642" s="3"/>
      <c r="U642" s="3"/>
    </row>
    <row r="643" spans="17:21" ht="14.25" customHeight="1">
      <c r="Q643" s="3"/>
      <c r="R643" s="3"/>
      <c r="U643" s="3"/>
    </row>
    <row r="644" spans="17:21" ht="14.25" customHeight="1">
      <c r="Q644" s="3"/>
      <c r="R644" s="3"/>
      <c r="U644" s="3"/>
    </row>
    <row r="645" spans="17:21" ht="14.25" customHeight="1">
      <c r="Q645" s="3"/>
      <c r="R645" s="3"/>
      <c r="U645" s="3"/>
    </row>
    <row r="646" spans="17:21" ht="14.25" customHeight="1">
      <c r="Q646" s="3"/>
      <c r="R646" s="3"/>
      <c r="U646" s="3"/>
    </row>
    <row r="647" spans="17:21" ht="14.25" customHeight="1">
      <c r="Q647" s="3"/>
      <c r="R647" s="3"/>
      <c r="U647" s="3"/>
    </row>
    <row r="648" spans="17:21" ht="14.25" customHeight="1">
      <c r="Q648" s="3"/>
      <c r="R648" s="3"/>
      <c r="U648" s="3"/>
    </row>
    <row r="649" spans="17:21" ht="14.25" customHeight="1">
      <c r="Q649" s="3"/>
      <c r="R649" s="3"/>
      <c r="U649" s="3"/>
    </row>
    <row r="650" spans="17:21" ht="14.25" customHeight="1">
      <c r="Q650" s="3"/>
      <c r="R650" s="3"/>
      <c r="U650" s="3"/>
    </row>
    <row r="651" spans="17:21" ht="14.25" customHeight="1">
      <c r="Q651" s="3"/>
      <c r="R651" s="3"/>
      <c r="U651" s="3"/>
    </row>
    <row r="652" spans="17:21" ht="14.25" customHeight="1">
      <c r="Q652" s="3"/>
      <c r="R652" s="3"/>
      <c r="U652" s="3"/>
    </row>
    <row r="653" spans="17:21" ht="14.25" customHeight="1">
      <c r="Q653" s="3"/>
      <c r="R653" s="3"/>
      <c r="U653" s="3"/>
    </row>
    <row r="654" spans="17:21" ht="14.25" customHeight="1">
      <c r="Q654" s="3"/>
      <c r="R654" s="3"/>
      <c r="U654" s="3"/>
    </row>
    <row r="655" spans="17:21" ht="14.25" customHeight="1">
      <c r="Q655" s="3"/>
      <c r="R655" s="3"/>
      <c r="U655" s="3"/>
    </row>
    <row r="656" spans="17:21" ht="14.25" customHeight="1">
      <c r="Q656" s="3"/>
      <c r="R656" s="3"/>
      <c r="U656" s="3"/>
    </row>
    <row r="657" spans="17:21" ht="14.25" customHeight="1">
      <c r="Q657" s="3"/>
      <c r="R657" s="3"/>
      <c r="U657" s="3"/>
    </row>
    <row r="658" spans="17:21" ht="14.25" customHeight="1">
      <c r="Q658" s="3"/>
      <c r="R658" s="3"/>
      <c r="U658" s="3"/>
    </row>
    <row r="659" spans="17:21" ht="14.25" customHeight="1">
      <c r="Q659" s="3"/>
      <c r="R659" s="3"/>
      <c r="U659" s="3"/>
    </row>
    <row r="660" spans="17:21" ht="14.25" customHeight="1">
      <c r="Q660" s="3"/>
      <c r="R660" s="3"/>
      <c r="U660" s="3"/>
    </row>
    <row r="661" spans="17:21" ht="14.25" customHeight="1">
      <c r="Q661" s="3"/>
      <c r="R661" s="3"/>
      <c r="U661" s="3"/>
    </row>
    <row r="662" spans="17:21" ht="14.25" customHeight="1">
      <c r="Q662" s="3"/>
      <c r="R662" s="3"/>
      <c r="U662" s="3"/>
    </row>
    <row r="663" spans="17:21" ht="14.25" customHeight="1">
      <c r="Q663" s="3"/>
      <c r="R663" s="3"/>
      <c r="U663" s="3"/>
    </row>
    <row r="664" spans="17:21" ht="14.25" customHeight="1">
      <c r="Q664" s="3"/>
      <c r="R664" s="3"/>
      <c r="U664" s="3"/>
    </row>
    <row r="665" spans="17:21" ht="14.25" customHeight="1">
      <c r="Q665" s="3"/>
      <c r="R665" s="3"/>
      <c r="U665" s="3"/>
    </row>
    <row r="666" spans="17:21" ht="14.25" customHeight="1">
      <c r="Q666" s="3"/>
      <c r="R666" s="3"/>
      <c r="U666" s="3"/>
    </row>
    <row r="667" spans="17:21" ht="14.25" customHeight="1">
      <c r="Q667" s="3"/>
      <c r="R667" s="3"/>
      <c r="U667" s="3"/>
    </row>
    <row r="668" spans="17:21" ht="14.25" customHeight="1">
      <c r="Q668" s="3"/>
      <c r="R668" s="3"/>
      <c r="U668" s="3"/>
    </row>
    <row r="669" spans="17:21" ht="14.25" customHeight="1">
      <c r="Q669" s="3"/>
      <c r="R669" s="3"/>
      <c r="U669" s="3"/>
    </row>
    <row r="670" spans="17:21" ht="14.25" customHeight="1">
      <c r="Q670" s="3"/>
      <c r="R670" s="3"/>
      <c r="U670" s="3"/>
    </row>
    <row r="671" spans="17:21" ht="14.25" customHeight="1">
      <c r="Q671" s="3"/>
      <c r="R671" s="3"/>
      <c r="U671" s="3"/>
    </row>
    <row r="672" spans="17:21" ht="14.25" customHeight="1">
      <c r="Q672" s="3"/>
      <c r="R672" s="3"/>
      <c r="U672" s="3"/>
    </row>
    <row r="673" spans="17:21" ht="14.25" customHeight="1">
      <c r="Q673" s="3"/>
      <c r="R673" s="3"/>
      <c r="U673" s="3"/>
    </row>
    <row r="674" spans="17:21" ht="14.25" customHeight="1">
      <c r="Q674" s="3"/>
      <c r="R674" s="3"/>
      <c r="U674" s="3"/>
    </row>
    <row r="675" spans="17:21" ht="14.25" customHeight="1">
      <c r="Q675" s="3"/>
      <c r="R675" s="3"/>
      <c r="U675" s="3"/>
    </row>
    <row r="676" spans="17:21" ht="14.25" customHeight="1">
      <c r="Q676" s="3"/>
      <c r="R676" s="3"/>
      <c r="U676" s="3"/>
    </row>
    <row r="677" spans="17:21" ht="14.25" customHeight="1">
      <c r="Q677" s="3"/>
      <c r="R677" s="3"/>
      <c r="U677" s="3"/>
    </row>
    <row r="678" spans="17:21" ht="14.25" customHeight="1">
      <c r="Q678" s="3"/>
      <c r="R678" s="3"/>
      <c r="U678" s="3"/>
    </row>
    <row r="679" spans="17:21" ht="14.25" customHeight="1">
      <c r="Q679" s="3"/>
      <c r="R679" s="3"/>
      <c r="U679" s="3"/>
    </row>
    <row r="680" spans="17:21" ht="14.25" customHeight="1">
      <c r="Q680" s="3"/>
      <c r="R680" s="3"/>
      <c r="U680" s="3"/>
    </row>
    <row r="681" spans="17:21" ht="14.25" customHeight="1">
      <c r="Q681" s="3"/>
      <c r="R681" s="3"/>
      <c r="U681" s="3"/>
    </row>
    <row r="682" spans="17:21" ht="14.25" customHeight="1">
      <c r="Q682" s="3"/>
      <c r="R682" s="3"/>
      <c r="U682" s="3"/>
    </row>
    <row r="683" spans="17:21" ht="14.25" customHeight="1">
      <c r="Q683" s="3"/>
      <c r="R683" s="3"/>
      <c r="U683" s="3"/>
    </row>
    <row r="684" spans="17:21" ht="14.25" customHeight="1">
      <c r="Q684" s="3"/>
      <c r="R684" s="3"/>
      <c r="U684" s="3"/>
    </row>
    <row r="685" spans="17:21" ht="14.25" customHeight="1">
      <c r="Q685" s="3"/>
      <c r="R685" s="3"/>
      <c r="U685" s="3"/>
    </row>
    <row r="686" spans="17:21" ht="14.25" customHeight="1">
      <c r="Q686" s="3"/>
      <c r="R686" s="3"/>
      <c r="U686" s="3"/>
    </row>
    <row r="687" spans="17:21" ht="14.25" customHeight="1">
      <c r="Q687" s="3"/>
      <c r="R687" s="3"/>
      <c r="U687" s="3"/>
    </row>
    <row r="688" spans="17:21" ht="14.25" customHeight="1">
      <c r="Q688" s="3"/>
      <c r="R688" s="3"/>
      <c r="U688" s="3"/>
    </row>
    <row r="689" spans="17:21" ht="14.25" customHeight="1">
      <c r="Q689" s="3"/>
      <c r="R689" s="3"/>
      <c r="U689" s="3"/>
    </row>
    <row r="690" spans="17:21" ht="14.25" customHeight="1">
      <c r="Q690" s="3"/>
      <c r="R690" s="3"/>
      <c r="U690" s="3"/>
    </row>
    <row r="691" spans="17:21" ht="14.25" customHeight="1">
      <c r="Q691" s="3"/>
      <c r="R691" s="3"/>
      <c r="U691" s="3"/>
    </row>
    <row r="692" spans="17:21" ht="14.25" customHeight="1">
      <c r="Q692" s="3"/>
      <c r="R692" s="3"/>
      <c r="U692" s="3"/>
    </row>
    <row r="693" spans="17:21" ht="14.25" customHeight="1">
      <c r="Q693" s="3"/>
      <c r="R693" s="3"/>
      <c r="U693" s="3"/>
    </row>
    <row r="694" spans="17:21" ht="14.25" customHeight="1">
      <c r="Q694" s="3"/>
      <c r="R694" s="3"/>
      <c r="U694" s="3"/>
    </row>
    <row r="695" spans="17:21" ht="14.25" customHeight="1">
      <c r="Q695" s="3"/>
      <c r="R695" s="3"/>
      <c r="U695" s="3"/>
    </row>
    <row r="696" spans="17:21" ht="14.25" customHeight="1">
      <c r="Q696" s="3"/>
      <c r="R696" s="3"/>
      <c r="U696" s="3"/>
    </row>
    <row r="697" spans="17:21" ht="14.25" customHeight="1">
      <c r="Q697" s="3"/>
      <c r="R697" s="3"/>
      <c r="U697" s="3"/>
    </row>
    <row r="698" spans="17:21" ht="14.25" customHeight="1">
      <c r="Q698" s="3"/>
      <c r="R698" s="3"/>
      <c r="U698" s="3"/>
    </row>
    <row r="699" spans="17:21" ht="14.25" customHeight="1">
      <c r="Q699" s="3"/>
      <c r="R699" s="3"/>
      <c r="U699" s="3"/>
    </row>
    <row r="700" spans="17:21" ht="14.25" customHeight="1">
      <c r="Q700" s="3"/>
      <c r="R700" s="3"/>
      <c r="U700" s="3"/>
    </row>
    <row r="701" spans="17:21" ht="14.25" customHeight="1">
      <c r="Q701" s="3"/>
      <c r="R701" s="3"/>
      <c r="U701" s="3"/>
    </row>
    <row r="702" spans="17:21" ht="14.25" customHeight="1">
      <c r="Q702" s="3"/>
      <c r="R702" s="3"/>
      <c r="U702" s="3"/>
    </row>
    <row r="703" spans="17:21" ht="14.25" customHeight="1">
      <c r="Q703" s="3"/>
      <c r="R703" s="3"/>
      <c r="U703" s="3"/>
    </row>
    <row r="704" spans="17:21" ht="14.25" customHeight="1">
      <c r="Q704" s="3"/>
      <c r="R704" s="3"/>
      <c r="U704" s="3"/>
    </row>
    <row r="705" spans="17:21" ht="14.25" customHeight="1">
      <c r="Q705" s="3"/>
      <c r="R705" s="3"/>
      <c r="U705" s="3"/>
    </row>
    <row r="706" spans="17:21" ht="14.25" customHeight="1">
      <c r="Q706" s="3"/>
      <c r="R706" s="3"/>
      <c r="U706" s="3"/>
    </row>
    <row r="707" spans="17:21" ht="14.25" customHeight="1">
      <c r="Q707" s="3"/>
      <c r="R707" s="3"/>
      <c r="U707" s="3"/>
    </row>
    <row r="708" spans="17:21" ht="14.25" customHeight="1">
      <c r="Q708" s="3"/>
      <c r="R708" s="3"/>
      <c r="U708" s="3"/>
    </row>
    <row r="709" spans="17:21" ht="14.25" customHeight="1">
      <c r="Q709" s="3"/>
      <c r="R709" s="3"/>
      <c r="U709" s="3"/>
    </row>
    <row r="710" spans="17:21" ht="14.25" customHeight="1">
      <c r="Q710" s="3"/>
      <c r="R710" s="3"/>
      <c r="U710" s="3"/>
    </row>
    <row r="711" spans="17:21" ht="14.25" customHeight="1">
      <c r="Q711" s="3"/>
      <c r="R711" s="3"/>
      <c r="U711" s="3"/>
    </row>
    <row r="712" spans="17:21" ht="14.25" customHeight="1">
      <c r="Q712" s="3"/>
      <c r="R712" s="3"/>
      <c r="U712" s="3"/>
    </row>
    <row r="713" spans="17:21" ht="14.25" customHeight="1">
      <c r="Q713" s="3"/>
      <c r="R713" s="3"/>
      <c r="U713" s="3"/>
    </row>
    <row r="714" spans="17:21" ht="14.25" customHeight="1">
      <c r="Q714" s="3"/>
      <c r="R714" s="3"/>
      <c r="U714" s="3"/>
    </row>
    <row r="715" spans="17:21" ht="14.25" customHeight="1">
      <c r="Q715" s="3"/>
      <c r="R715" s="3"/>
      <c r="U715" s="3"/>
    </row>
    <row r="716" spans="17:21" ht="14.25" customHeight="1">
      <c r="Q716" s="3"/>
      <c r="R716" s="3"/>
      <c r="U716" s="3"/>
    </row>
    <row r="717" spans="17:21" ht="14.25" customHeight="1">
      <c r="Q717" s="3"/>
      <c r="R717" s="3"/>
      <c r="U717" s="3"/>
    </row>
    <row r="718" spans="17:21" ht="14.25" customHeight="1">
      <c r="Q718" s="3"/>
      <c r="R718" s="3"/>
      <c r="U718" s="3"/>
    </row>
    <row r="719" spans="17:21" ht="14.25" customHeight="1">
      <c r="Q719" s="3"/>
      <c r="R719" s="3"/>
      <c r="U719" s="3"/>
    </row>
    <row r="720" spans="17:21" ht="14.25" customHeight="1">
      <c r="Q720" s="3"/>
      <c r="R720" s="3"/>
      <c r="U720" s="3"/>
    </row>
    <row r="721" spans="17:21" ht="14.25" customHeight="1">
      <c r="Q721" s="3"/>
      <c r="R721" s="3"/>
      <c r="U721" s="3"/>
    </row>
    <row r="722" spans="17:21" ht="14.25" customHeight="1">
      <c r="Q722" s="3"/>
      <c r="R722" s="3"/>
      <c r="U722" s="3"/>
    </row>
    <row r="723" spans="17:21" ht="14.25" customHeight="1">
      <c r="Q723" s="3"/>
      <c r="R723" s="3"/>
      <c r="U723" s="3"/>
    </row>
    <row r="724" spans="17:21" ht="14.25" customHeight="1">
      <c r="Q724" s="3"/>
      <c r="R724" s="3"/>
      <c r="U724" s="3"/>
    </row>
    <row r="725" spans="17:21" ht="14.25" customHeight="1">
      <c r="Q725" s="3"/>
      <c r="R725" s="3"/>
      <c r="U725" s="3"/>
    </row>
    <row r="726" spans="17:21" ht="14.25" customHeight="1">
      <c r="Q726" s="3"/>
      <c r="R726" s="3"/>
      <c r="U726" s="3"/>
    </row>
    <row r="727" spans="17:21" ht="14.25" customHeight="1">
      <c r="Q727" s="3"/>
      <c r="R727" s="3"/>
      <c r="U727" s="3"/>
    </row>
    <row r="728" spans="17:21" ht="14.25" customHeight="1">
      <c r="Q728" s="3"/>
      <c r="R728" s="3"/>
      <c r="U728" s="3"/>
    </row>
    <row r="729" spans="17:21" ht="14.25" customHeight="1">
      <c r="Q729" s="3"/>
      <c r="R729" s="3"/>
      <c r="U729" s="3"/>
    </row>
    <row r="730" spans="17:21" ht="14.25" customHeight="1">
      <c r="Q730" s="3"/>
      <c r="R730" s="3"/>
      <c r="U730" s="3"/>
    </row>
    <row r="731" spans="17:21" ht="14.25" customHeight="1">
      <c r="Q731" s="3"/>
      <c r="R731" s="3"/>
      <c r="U731" s="3"/>
    </row>
    <row r="732" spans="17:21" ht="14.25" customHeight="1">
      <c r="Q732" s="3"/>
      <c r="R732" s="3"/>
      <c r="U732" s="3"/>
    </row>
    <row r="733" spans="17:21" ht="14.25" customHeight="1">
      <c r="Q733" s="3"/>
      <c r="R733" s="3"/>
      <c r="U733" s="3"/>
    </row>
    <row r="734" spans="17:21" ht="14.25" customHeight="1">
      <c r="Q734" s="3"/>
      <c r="R734" s="3"/>
      <c r="U734" s="3"/>
    </row>
    <row r="735" spans="17:21" ht="14.25" customHeight="1">
      <c r="Q735" s="3"/>
      <c r="R735" s="3"/>
      <c r="U735" s="3"/>
    </row>
    <row r="736" spans="17:21" ht="14.25" customHeight="1">
      <c r="Q736" s="3"/>
      <c r="R736" s="3"/>
      <c r="U736" s="3"/>
    </row>
    <row r="737" spans="17:21" ht="14.25" customHeight="1">
      <c r="Q737" s="3"/>
      <c r="R737" s="3"/>
      <c r="U737" s="3"/>
    </row>
    <row r="738" spans="17:21" ht="14.25" customHeight="1">
      <c r="Q738" s="3"/>
      <c r="R738" s="3"/>
      <c r="U738" s="3"/>
    </row>
    <row r="739" spans="17:21" ht="14.25" customHeight="1">
      <c r="Q739" s="3"/>
      <c r="R739" s="3"/>
      <c r="U739" s="3"/>
    </row>
    <row r="740" spans="17:21" ht="14.25" customHeight="1">
      <c r="Q740" s="3"/>
      <c r="R740" s="3"/>
      <c r="U740" s="3"/>
    </row>
    <row r="741" spans="17:21" ht="14.25" customHeight="1">
      <c r="Q741" s="3"/>
      <c r="R741" s="3"/>
      <c r="U741" s="3"/>
    </row>
    <row r="742" spans="17:21" ht="14.25" customHeight="1">
      <c r="Q742" s="3"/>
      <c r="R742" s="3"/>
      <c r="U742" s="3"/>
    </row>
    <row r="743" spans="17:21" ht="14.25" customHeight="1">
      <c r="Q743" s="3"/>
      <c r="R743" s="3"/>
      <c r="U743" s="3"/>
    </row>
    <row r="744" spans="17:21" ht="14.25" customHeight="1">
      <c r="Q744" s="3"/>
      <c r="R744" s="3"/>
      <c r="U744" s="3"/>
    </row>
    <row r="745" spans="17:21" ht="14.25" customHeight="1">
      <c r="Q745" s="3"/>
      <c r="R745" s="3"/>
      <c r="U745" s="3"/>
    </row>
    <row r="746" spans="17:21" ht="14.25" customHeight="1">
      <c r="Q746" s="3"/>
      <c r="R746" s="3"/>
      <c r="U746" s="3"/>
    </row>
    <row r="747" spans="17:21" ht="14.25" customHeight="1">
      <c r="Q747" s="3"/>
      <c r="R747" s="3"/>
      <c r="U747" s="3"/>
    </row>
    <row r="748" spans="17:21" ht="14.25" customHeight="1">
      <c r="Q748" s="3"/>
      <c r="R748" s="3"/>
      <c r="U748" s="3"/>
    </row>
    <row r="749" spans="17:21" ht="14.25" customHeight="1">
      <c r="Q749" s="3"/>
      <c r="R749" s="3"/>
      <c r="U749" s="3"/>
    </row>
    <row r="750" spans="17:21" ht="14.25" customHeight="1">
      <c r="Q750" s="3"/>
      <c r="R750" s="3"/>
      <c r="U750" s="3"/>
    </row>
    <row r="751" spans="17:21" ht="14.25" customHeight="1">
      <c r="Q751" s="3"/>
      <c r="R751" s="3"/>
      <c r="U751" s="3"/>
    </row>
    <row r="752" spans="17:21" ht="14.25" customHeight="1">
      <c r="Q752" s="3"/>
      <c r="R752" s="3"/>
      <c r="U752" s="3"/>
    </row>
    <row r="753" spans="17:21" ht="14.25" customHeight="1">
      <c r="Q753" s="3"/>
      <c r="R753" s="3"/>
      <c r="U753" s="3"/>
    </row>
    <row r="754" spans="17:21" ht="14.25" customHeight="1">
      <c r="Q754" s="3"/>
      <c r="R754" s="3"/>
      <c r="U754" s="3"/>
    </row>
    <row r="755" spans="17:21" ht="14.25" customHeight="1">
      <c r="Q755" s="3"/>
      <c r="R755" s="3"/>
      <c r="U755" s="3"/>
    </row>
    <row r="756" spans="17:21" ht="14.25" customHeight="1">
      <c r="Q756" s="3"/>
      <c r="R756" s="3"/>
      <c r="U756" s="3"/>
    </row>
    <row r="757" spans="17:21" ht="14.25" customHeight="1">
      <c r="Q757" s="3"/>
      <c r="R757" s="3"/>
      <c r="U757" s="3"/>
    </row>
    <row r="758" spans="17:21" ht="14.25" customHeight="1">
      <c r="Q758" s="3"/>
      <c r="R758" s="3"/>
      <c r="U758" s="3"/>
    </row>
    <row r="759" spans="17:21" ht="14.25" customHeight="1">
      <c r="Q759" s="3"/>
      <c r="R759" s="3"/>
      <c r="U759" s="3"/>
    </row>
    <row r="760" spans="17:21" ht="14.25" customHeight="1">
      <c r="Q760" s="3"/>
      <c r="R760" s="3"/>
      <c r="U760" s="3"/>
    </row>
    <row r="761" spans="17:21" ht="14.25" customHeight="1">
      <c r="Q761" s="3"/>
      <c r="R761" s="3"/>
      <c r="U761" s="3"/>
    </row>
    <row r="762" spans="17:21" ht="14.25" customHeight="1">
      <c r="Q762" s="3"/>
      <c r="R762" s="3"/>
      <c r="U762" s="3"/>
    </row>
    <row r="763" spans="17:21" ht="14.25" customHeight="1">
      <c r="Q763" s="3"/>
      <c r="R763" s="3"/>
      <c r="U763" s="3"/>
    </row>
    <row r="764" spans="17:21" ht="14.25" customHeight="1">
      <c r="Q764" s="3"/>
      <c r="R764" s="3"/>
      <c r="U764" s="3"/>
    </row>
    <row r="765" spans="17:21" ht="14.25" customHeight="1">
      <c r="Q765" s="3"/>
      <c r="R765" s="3"/>
      <c r="U765" s="3"/>
    </row>
    <row r="766" spans="17:21" ht="14.25" customHeight="1">
      <c r="Q766" s="3"/>
      <c r="R766" s="3"/>
      <c r="U766" s="3"/>
    </row>
    <row r="767" spans="17:21" ht="14.25" customHeight="1">
      <c r="Q767" s="3"/>
      <c r="R767" s="3"/>
      <c r="U767" s="3"/>
    </row>
    <row r="768" spans="17:21" ht="14.25" customHeight="1">
      <c r="Q768" s="3"/>
      <c r="R768" s="3"/>
      <c r="U768" s="3"/>
    </row>
    <row r="769" spans="17:21" ht="14.25" customHeight="1">
      <c r="Q769" s="3"/>
      <c r="R769" s="3"/>
      <c r="U769" s="3"/>
    </row>
    <row r="770" spans="17:21" ht="14.25" customHeight="1">
      <c r="Q770" s="3"/>
      <c r="R770" s="3"/>
      <c r="U770" s="3"/>
    </row>
    <row r="771" spans="17:21" ht="14.25" customHeight="1">
      <c r="Q771" s="3"/>
      <c r="R771" s="3"/>
      <c r="U771" s="3"/>
    </row>
    <row r="772" spans="17:21" ht="14.25" customHeight="1">
      <c r="Q772" s="3"/>
      <c r="R772" s="3"/>
      <c r="U772" s="3"/>
    </row>
    <row r="773" spans="17:21" ht="14.25" customHeight="1">
      <c r="Q773" s="3"/>
      <c r="R773" s="3"/>
      <c r="U773" s="3"/>
    </row>
    <row r="774" spans="17:21" ht="14.25" customHeight="1">
      <c r="Q774" s="3"/>
      <c r="R774" s="3"/>
      <c r="U774" s="3"/>
    </row>
    <row r="775" spans="17:21" ht="14.25" customHeight="1">
      <c r="Q775" s="3"/>
      <c r="R775" s="3"/>
      <c r="U775" s="3"/>
    </row>
    <row r="776" spans="17:21" ht="14.25" customHeight="1">
      <c r="Q776" s="3"/>
      <c r="R776" s="3"/>
      <c r="U776" s="3"/>
    </row>
    <row r="777" spans="17:21" ht="14.25" customHeight="1">
      <c r="Q777" s="3"/>
      <c r="R777" s="3"/>
      <c r="U777" s="3"/>
    </row>
    <row r="778" spans="17:21" ht="14.25" customHeight="1">
      <c r="Q778" s="3"/>
      <c r="R778" s="3"/>
      <c r="U778" s="3"/>
    </row>
    <row r="779" spans="17:21" ht="14.25" customHeight="1">
      <c r="Q779" s="3"/>
      <c r="R779" s="3"/>
      <c r="U779" s="3"/>
    </row>
    <row r="780" spans="17:21" ht="14.25" customHeight="1">
      <c r="Q780" s="3"/>
      <c r="R780" s="3"/>
      <c r="U780" s="3"/>
    </row>
    <row r="781" spans="17:21" ht="14.25" customHeight="1">
      <c r="Q781" s="3"/>
      <c r="R781" s="3"/>
      <c r="U781" s="3"/>
    </row>
    <row r="782" spans="17:21" ht="14.25" customHeight="1">
      <c r="Q782" s="3"/>
      <c r="R782" s="3"/>
      <c r="U782" s="3"/>
    </row>
    <row r="783" spans="17:21" ht="14.25" customHeight="1">
      <c r="Q783" s="3"/>
      <c r="R783" s="3"/>
      <c r="U783" s="3"/>
    </row>
    <row r="784" spans="17:21" ht="14.25" customHeight="1">
      <c r="Q784" s="3"/>
      <c r="R784" s="3"/>
      <c r="U784" s="3"/>
    </row>
    <row r="785" spans="17:21" ht="14.25" customHeight="1">
      <c r="Q785" s="3"/>
      <c r="R785" s="3"/>
      <c r="U785" s="3"/>
    </row>
    <row r="786" spans="17:21" ht="14.25" customHeight="1">
      <c r="Q786" s="3"/>
      <c r="R786" s="3"/>
      <c r="U786" s="3"/>
    </row>
    <row r="787" spans="17:21" ht="14.25" customHeight="1">
      <c r="Q787" s="3"/>
      <c r="R787" s="3"/>
      <c r="U787" s="3"/>
    </row>
    <row r="788" spans="17:21" ht="14.25" customHeight="1">
      <c r="Q788" s="3"/>
      <c r="R788" s="3"/>
      <c r="U788" s="3"/>
    </row>
    <row r="789" spans="17:21" ht="14.25" customHeight="1">
      <c r="Q789" s="3"/>
      <c r="R789" s="3"/>
      <c r="U789" s="3"/>
    </row>
    <row r="790" spans="17:21" ht="14.25" customHeight="1">
      <c r="Q790" s="3"/>
      <c r="R790" s="3"/>
      <c r="U790" s="3"/>
    </row>
    <row r="791" spans="17:21" ht="14.25" customHeight="1">
      <c r="Q791" s="3"/>
      <c r="R791" s="3"/>
      <c r="U791" s="3"/>
    </row>
    <row r="792" spans="17:21" ht="14.25" customHeight="1">
      <c r="Q792" s="3"/>
      <c r="R792" s="3"/>
      <c r="U792" s="3"/>
    </row>
    <row r="793" spans="17:21" ht="14.25" customHeight="1">
      <c r="Q793" s="3"/>
      <c r="R793" s="3"/>
      <c r="U793" s="3"/>
    </row>
    <row r="794" spans="17:21" ht="14.25" customHeight="1">
      <c r="Q794" s="3"/>
      <c r="R794" s="3"/>
      <c r="U794" s="3"/>
    </row>
    <row r="795" spans="17:21" ht="14.25" customHeight="1">
      <c r="Q795" s="3"/>
      <c r="R795" s="3"/>
      <c r="U795" s="3"/>
    </row>
    <row r="796" spans="17:21" ht="14.25" customHeight="1">
      <c r="Q796" s="3"/>
      <c r="R796" s="3"/>
      <c r="U796" s="3"/>
    </row>
    <row r="797" spans="17:21" ht="14.25" customHeight="1">
      <c r="Q797" s="3"/>
      <c r="R797" s="3"/>
      <c r="U797" s="3"/>
    </row>
    <row r="798" spans="17:21" ht="14.25" customHeight="1">
      <c r="Q798" s="3"/>
      <c r="R798" s="3"/>
      <c r="U798" s="3"/>
    </row>
    <row r="799" spans="17:21" ht="14.25" customHeight="1">
      <c r="Q799" s="3"/>
      <c r="R799" s="3"/>
      <c r="U799" s="3"/>
    </row>
    <row r="800" spans="17:21" ht="14.25" customHeight="1">
      <c r="Q800" s="3"/>
      <c r="R800" s="3"/>
      <c r="U800" s="3"/>
    </row>
    <row r="801" spans="17:21" ht="14.25" customHeight="1">
      <c r="Q801" s="3"/>
      <c r="R801" s="3"/>
      <c r="U801" s="3"/>
    </row>
    <row r="802" spans="17:21" ht="14.25" customHeight="1">
      <c r="Q802" s="3"/>
      <c r="R802" s="3"/>
      <c r="U802" s="3"/>
    </row>
    <row r="803" spans="17:21" ht="14.25" customHeight="1">
      <c r="Q803" s="3"/>
      <c r="R803" s="3"/>
      <c r="U803" s="3"/>
    </row>
    <row r="804" spans="17:21" ht="14.25" customHeight="1">
      <c r="Q804" s="3"/>
      <c r="R804" s="3"/>
      <c r="U804" s="3"/>
    </row>
    <row r="805" spans="17:21" ht="14.25" customHeight="1">
      <c r="Q805" s="3"/>
      <c r="R805" s="3"/>
      <c r="U805" s="3"/>
    </row>
    <row r="806" spans="17:21" ht="14.25" customHeight="1">
      <c r="Q806" s="3"/>
      <c r="R806" s="3"/>
      <c r="U806" s="3"/>
    </row>
    <row r="807" spans="17:21" ht="14.25" customHeight="1">
      <c r="Q807" s="3"/>
      <c r="R807" s="3"/>
      <c r="U807" s="3"/>
    </row>
    <row r="808" spans="17:21" ht="14.25" customHeight="1">
      <c r="Q808" s="3"/>
      <c r="R808" s="3"/>
      <c r="U808" s="3"/>
    </row>
    <row r="809" spans="17:21" ht="14.25" customHeight="1">
      <c r="Q809" s="3"/>
      <c r="R809" s="3"/>
      <c r="U809" s="3"/>
    </row>
    <row r="810" spans="17:21" ht="14.25" customHeight="1">
      <c r="Q810" s="3"/>
      <c r="R810" s="3"/>
      <c r="U810" s="3"/>
    </row>
    <row r="811" spans="17:21" ht="14.25" customHeight="1">
      <c r="Q811" s="3"/>
      <c r="R811" s="3"/>
      <c r="U811" s="3"/>
    </row>
    <row r="812" spans="17:21" ht="14.25" customHeight="1">
      <c r="Q812" s="3"/>
      <c r="R812" s="3"/>
      <c r="U812" s="3"/>
    </row>
    <row r="813" spans="17:21" ht="14.25" customHeight="1">
      <c r="Q813" s="3"/>
      <c r="R813" s="3"/>
      <c r="U813" s="3"/>
    </row>
    <row r="814" spans="17:21" ht="14.25" customHeight="1">
      <c r="Q814" s="3"/>
      <c r="R814" s="3"/>
      <c r="U814" s="3"/>
    </row>
    <row r="815" spans="17:21" ht="14.25" customHeight="1">
      <c r="Q815" s="3"/>
      <c r="R815" s="3"/>
      <c r="U815" s="3"/>
    </row>
    <row r="816" spans="17:21" ht="14.25" customHeight="1">
      <c r="Q816" s="3"/>
      <c r="R816" s="3"/>
      <c r="U816" s="3"/>
    </row>
    <row r="817" spans="17:21" ht="14.25" customHeight="1">
      <c r="Q817" s="3"/>
      <c r="R817" s="3"/>
      <c r="U817" s="3"/>
    </row>
    <row r="818" spans="17:21" ht="14.25" customHeight="1">
      <c r="Q818" s="3"/>
      <c r="R818" s="3"/>
      <c r="U818" s="3"/>
    </row>
    <row r="819" spans="17:21" ht="14.25" customHeight="1">
      <c r="Q819" s="3"/>
      <c r="R819" s="3"/>
      <c r="U819" s="3"/>
    </row>
    <row r="820" spans="17:21" ht="14.25" customHeight="1">
      <c r="Q820" s="3"/>
      <c r="R820" s="3"/>
      <c r="U820" s="3"/>
    </row>
    <row r="821" spans="17:21" ht="14.25" customHeight="1">
      <c r="Q821" s="3"/>
      <c r="R821" s="3"/>
      <c r="U821" s="3"/>
    </row>
    <row r="822" spans="17:21" ht="14.25" customHeight="1">
      <c r="Q822" s="3"/>
      <c r="R822" s="3"/>
      <c r="U822" s="3"/>
    </row>
    <row r="823" spans="17:21" ht="14.25" customHeight="1">
      <c r="Q823" s="3"/>
      <c r="R823" s="3"/>
      <c r="U823" s="3"/>
    </row>
    <row r="824" spans="17:21" ht="14.25" customHeight="1">
      <c r="Q824" s="3"/>
      <c r="R824" s="3"/>
      <c r="U824" s="3"/>
    </row>
    <row r="825" spans="17:21" ht="14.25" customHeight="1">
      <c r="Q825" s="3"/>
      <c r="R825" s="3"/>
      <c r="U825" s="3"/>
    </row>
    <row r="826" spans="17:21" ht="14.25" customHeight="1">
      <c r="Q826" s="3"/>
      <c r="R826" s="3"/>
      <c r="U826" s="3"/>
    </row>
    <row r="827" spans="17:21" ht="14.25" customHeight="1">
      <c r="Q827" s="3"/>
      <c r="R827" s="3"/>
      <c r="U827" s="3"/>
    </row>
    <row r="828" spans="17:21" ht="14.25" customHeight="1">
      <c r="Q828" s="3"/>
      <c r="R828" s="3"/>
      <c r="U828" s="3"/>
    </row>
    <row r="829" spans="17:21" ht="14.25" customHeight="1">
      <c r="Q829" s="3"/>
      <c r="R829" s="3"/>
      <c r="U829" s="3"/>
    </row>
    <row r="830" spans="17:21" ht="14.25" customHeight="1">
      <c r="Q830" s="3"/>
      <c r="R830" s="3"/>
      <c r="U830" s="3"/>
    </row>
    <row r="831" spans="17:21" ht="14.25" customHeight="1">
      <c r="Q831" s="3"/>
      <c r="R831" s="3"/>
      <c r="U831" s="3"/>
    </row>
    <row r="832" spans="17:21" ht="14.25" customHeight="1">
      <c r="Q832" s="3"/>
      <c r="R832" s="3"/>
      <c r="U832" s="3"/>
    </row>
    <row r="833" spans="17:21" ht="14.25" customHeight="1">
      <c r="Q833" s="3"/>
      <c r="R833" s="3"/>
      <c r="U833" s="3"/>
    </row>
    <row r="834" spans="17:21" ht="14.25" customHeight="1">
      <c r="Q834" s="3"/>
      <c r="R834" s="3"/>
      <c r="U834" s="3"/>
    </row>
    <row r="835" spans="17:21" ht="14.25" customHeight="1">
      <c r="Q835" s="3"/>
      <c r="R835" s="3"/>
      <c r="U835" s="3"/>
    </row>
    <row r="836" spans="17:21" ht="14.25" customHeight="1">
      <c r="Q836" s="3"/>
      <c r="R836" s="3"/>
      <c r="U836" s="3"/>
    </row>
    <row r="837" spans="17:21" ht="14.25" customHeight="1">
      <c r="Q837" s="3"/>
      <c r="R837" s="3"/>
      <c r="U837" s="3"/>
    </row>
    <row r="838" spans="17:21" ht="14.25" customHeight="1">
      <c r="Q838" s="3"/>
      <c r="R838" s="3"/>
      <c r="U838" s="3"/>
    </row>
    <row r="839" spans="17:21" ht="14.25" customHeight="1">
      <c r="Q839" s="3"/>
      <c r="R839" s="3"/>
      <c r="U839" s="3"/>
    </row>
    <row r="840" spans="17:21" ht="14.25" customHeight="1">
      <c r="Q840" s="3"/>
      <c r="R840" s="3"/>
      <c r="U840" s="3"/>
    </row>
    <row r="841" spans="17:21" ht="14.25" customHeight="1">
      <c r="Q841" s="3"/>
      <c r="R841" s="3"/>
      <c r="U841" s="3"/>
    </row>
    <row r="842" spans="17:21" ht="14.25" customHeight="1">
      <c r="Q842" s="3"/>
      <c r="R842" s="3"/>
      <c r="U842" s="3"/>
    </row>
    <row r="843" spans="17:21" ht="14.25" customHeight="1">
      <c r="Q843" s="3"/>
      <c r="R843" s="3"/>
      <c r="U843" s="3"/>
    </row>
    <row r="844" spans="17:21" ht="14.25" customHeight="1">
      <c r="Q844" s="3"/>
      <c r="R844" s="3"/>
      <c r="U844" s="3"/>
    </row>
    <row r="845" spans="17:21" ht="14.25" customHeight="1">
      <c r="Q845" s="3"/>
      <c r="R845" s="3"/>
      <c r="U845" s="3"/>
    </row>
    <row r="846" spans="17:21" ht="14.25" customHeight="1">
      <c r="Q846" s="3"/>
      <c r="R846" s="3"/>
      <c r="U846" s="3"/>
    </row>
    <row r="847" spans="17:21" ht="14.25" customHeight="1">
      <c r="Q847" s="3"/>
      <c r="R847" s="3"/>
      <c r="U847" s="3"/>
    </row>
    <row r="848" spans="17:21" ht="14.25" customHeight="1">
      <c r="Q848" s="3"/>
      <c r="R848" s="3"/>
      <c r="U848" s="3"/>
    </row>
    <row r="849" spans="17:21" ht="14.25" customHeight="1">
      <c r="Q849" s="3"/>
      <c r="R849" s="3"/>
      <c r="U849" s="3"/>
    </row>
    <row r="850" spans="17:21" ht="14.25" customHeight="1">
      <c r="Q850" s="3"/>
      <c r="R850" s="3"/>
      <c r="U850" s="3"/>
    </row>
    <row r="851" spans="17:21" ht="14.25" customHeight="1">
      <c r="Q851" s="3"/>
      <c r="R851" s="3"/>
      <c r="U851" s="3"/>
    </row>
    <row r="852" spans="17:21" ht="14.25" customHeight="1">
      <c r="Q852" s="3"/>
      <c r="R852" s="3"/>
      <c r="U852" s="3"/>
    </row>
    <row r="853" spans="17:21" ht="14.25" customHeight="1">
      <c r="Q853" s="3"/>
      <c r="R853" s="3"/>
      <c r="U853" s="3"/>
    </row>
    <row r="854" spans="17:21" ht="14.25" customHeight="1">
      <c r="Q854" s="3"/>
      <c r="R854" s="3"/>
      <c r="U854" s="3"/>
    </row>
    <row r="855" spans="17:21" ht="14.25" customHeight="1">
      <c r="Q855" s="3"/>
      <c r="R855" s="3"/>
      <c r="U855" s="3"/>
    </row>
    <row r="856" spans="17:21" ht="14.25" customHeight="1">
      <c r="Q856" s="3"/>
      <c r="R856" s="3"/>
      <c r="U856" s="3"/>
    </row>
    <row r="857" spans="17:21" ht="14.25" customHeight="1">
      <c r="Q857" s="3"/>
      <c r="R857" s="3"/>
      <c r="U857" s="3"/>
    </row>
    <row r="858" spans="17:21" ht="14.25" customHeight="1">
      <c r="Q858" s="3"/>
      <c r="R858" s="3"/>
      <c r="U858" s="3"/>
    </row>
    <row r="859" spans="17:21" ht="14.25" customHeight="1">
      <c r="Q859" s="3"/>
      <c r="R859" s="3"/>
      <c r="U859" s="3"/>
    </row>
    <row r="860" spans="17:21" ht="14.25" customHeight="1">
      <c r="Q860" s="3"/>
      <c r="R860" s="3"/>
      <c r="U860" s="3"/>
    </row>
    <row r="861" spans="17:21" ht="14.25" customHeight="1">
      <c r="Q861" s="3"/>
      <c r="R861" s="3"/>
      <c r="U861" s="3"/>
    </row>
    <row r="862" spans="17:21" ht="14.25" customHeight="1">
      <c r="Q862" s="3"/>
      <c r="R862" s="3"/>
      <c r="U862" s="3"/>
    </row>
    <row r="863" spans="17:21" ht="14.25" customHeight="1">
      <c r="Q863" s="3"/>
      <c r="R863" s="3"/>
      <c r="U863" s="3"/>
    </row>
    <row r="864" spans="17:21" ht="14.25" customHeight="1">
      <c r="Q864" s="3"/>
      <c r="R864" s="3"/>
      <c r="U864" s="3"/>
    </row>
    <row r="865" spans="17:21" ht="14.25" customHeight="1">
      <c r="Q865" s="3"/>
      <c r="R865" s="3"/>
      <c r="U865" s="3"/>
    </row>
    <row r="866" spans="17:21" ht="14.25" customHeight="1">
      <c r="Q866" s="3"/>
      <c r="R866" s="3"/>
      <c r="U866" s="3"/>
    </row>
    <row r="867" spans="17:21" ht="14.25" customHeight="1">
      <c r="Q867" s="3"/>
      <c r="R867" s="3"/>
      <c r="U867" s="3"/>
    </row>
    <row r="868" spans="17:21" ht="14.25" customHeight="1">
      <c r="Q868" s="3"/>
      <c r="R868" s="3"/>
      <c r="U868" s="3"/>
    </row>
    <row r="869" spans="17:21" ht="14.25" customHeight="1">
      <c r="Q869" s="3"/>
      <c r="R869" s="3"/>
      <c r="U869" s="3"/>
    </row>
    <row r="870" spans="17:21" ht="14.25" customHeight="1">
      <c r="Q870" s="3"/>
      <c r="R870" s="3"/>
      <c r="U870" s="3"/>
    </row>
    <row r="871" spans="17:21" ht="14.25" customHeight="1">
      <c r="Q871" s="3"/>
      <c r="R871" s="3"/>
      <c r="U871" s="3"/>
    </row>
    <row r="872" spans="17:21" ht="14.25" customHeight="1">
      <c r="Q872" s="3"/>
      <c r="R872" s="3"/>
      <c r="U872" s="3"/>
    </row>
    <row r="873" spans="17:21" ht="14.25" customHeight="1">
      <c r="Q873" s="3"/>
      <c r="R873" s="3"/>
      <c r="U873" s="3"/>
    </row>
    <row r="874" spans="17:21" ht="14.25" customHeight="1">
      <c r="Q874" s="3"/>
      <c r="R874" s="3"/>
      <c r="U874" s="3"/>
    </row>
    <row r="875" spans="17:21" ht="14.25" customHeight="1">
      <c r="Q875" s="3"/>
      <c r="R875" s="3"/>
      <c r="U875" s="3"/>
    </row>
    <row r="876" spans="17:21" ht="14.25" customHeight="1">
      <c r="Q876" s="3"/>
      <c r="R876" s="3"/>
      <c r="U876" s="3"/>
    </row>
    <row r="877" spans="17:21" ht="14.25" customHeight="1">
      <c r="Q877" s="3"/>
      <c r="R877" s="3"/>
      <c r="U877" s="3"/>
    </row>
    <row r="878" spans="17:21" ht="14.25" customHeight="1">
      <c r="Q878" s="3"/>
      <c r="R878" s="3"/>
      <c r="U878" s="3"/>
    </row>
    <row r="879" spans="17:21" ht="14.25" customHeight="1">
      <c r="Q879" s="3"/>
      <c r="R879" s="3"/>
      <c r="U879" s="3"/>
    </row>
    <row r="880" spans="17:21" ht="14.25" customHeight="1">
      <c r="Q880" s="3"/>
      <c r="R880" s="3"/>
      <c r="U880" s="3"/>
    </row>
    <row r="881" spans="17:21" ht="14.25" customHeight="1">
      <c r="Q881" s="3"/>
      <c r="R881" s="3"/>
      <c r="U881" s="3"/>
    </row>
    <row r="882" spans="17:21" ht="14.25" customHeight="1">
      <c r="Q882" s="3"/>
      <c r="R882" s="3"/>
      <c r="U882" s="3"/>
    </row>
    <row r="883" spans="17:21" ht="14.25" customHeight="1">
      <c r="Q883" s="3"/>
      <c r="R883" s="3"/>
      <c r="U883" s="3"/>
    </row>
    <row r="884" spans="17:21" ht="14.25" customHeight="1">
      <c r="Q884" s="3"/>
      <c r="R884" s="3"/>
      <c r="U884" s="3"/>
    </row>
    <row r="885" spans="17:21" ht="14.25" customHeight="1">
      <c r="Q885" s="3"/>
      <c r="R885" s="3"/>
      <c r="U885" s="3"/>
    </row>
    <row r="886" spans="17:21" ht="14.25" customHeight="1">
      <c r="Q886" s="3"/>
      <c r="R886" s="3"/>
      <c r="U886" s="3"/>
    </row>
    <row r="887" spans="17:21" ht="14.25" customHeight="1">
      <c r="Q887" s="3"/>
      <c r="R887" s="3"/>
      <c r="U887" s="3"/>
    </row>
    <row r="888" spans="17:21" ht="14.25" customHeight="1">
      <c r="Q888" s="3"/>
      <c r="R888" s="3"/>
      <c r="U888" s="3"/>
    </row>
    <row r="889" spans="17:21" ht="14.25" customHeight="1">
      <c r="Q889" s="3"/>
      <c r="R889" s="3"/>
      <c r="U889" s="3"/>
    </row>
    <row r="890" spans="17:21" ht="14.25" customHeight="1">
      <c r="Q890" s="3"/>
      <c r="R890" s="3"/>
      <c r="U890" s="3"/>
    </row>
    <row r="891" spans="17:21" ht="14.25" customHeight="1">
      <c r="Q891" s="3"/>
      <c r="R891" s="3"/>
      <c r="U891" s="3"/>
    </row>
    <row r="892" spans="17:21" ht="14.25" customHeight="1">
      <c r="Q892" s="3"/>
      <c r="R892" s="3"/>
      <c r="U892" s="3"/>
    </row>
    <row r="893" spans="17:21" ht="14.25" customHeight="1">
      <c r="Q893" s="3"/>
      <c r="R893" s="3"/>
      <c r="U893" s="3"/>
    </row>
    <row r="894" spans="17:21" ht="14.25" customHeight="1">
      <c r="Q894" s="3"/>
      <c r="R894" s="3"/>
      <c r="U894" s="3"/>
    </row>
    <row r="895" spans="17:21" ht="14.25" customHeight="1">
      <c r="Q895" s="3"/>
      <c r="R895" s="3"/>
      <c r="U895" s="3"/>
    </row>
    <row r="896" spans="17:21" ht="14.25" customHeight="1">
      <c r="Q896" s="3"/>
      <c r="R896" s="3"/>
      <c r="U896" s="3"/>
    </row>
    <row r="897" spans="17:21" ht="14.25" customHeight="1">
      <c r="Q897" s="3"/>
      <c r="R897" s="3"/>
      <c r="U897" s="3"/>
    </row>
    <row r="898" spans="17:21" ht="14.25" customHeight="1">
      <c r="Q898" s="3"/>
      <c r="R898" s="3"/>
      <c r="U898" s="3"/>
    </row>
    <row r="899" spans="17:21" ht="14.25" customHeight="1">
      <c r="Q899" s="3"/>
      <c r="R899" s="3"/>
      <c r="U899" s="3"/>
    </row>
    <row r="900" spans="17:21" ht="14.25" customHeight="1">
      <c r="Q900" s="3"/>
      <c r="R900" s="3"/>
      <c r="U900" s="3"/>
    </row>
    <row r="901" spans="17:21" ht="14.25" customHeight="1">
      <c r="Q901" s="3"/>
      <c r="R901" s="3"/>
      <c r="U901" s="3"/>
    </row>
    <row r="902" spans="17:21" ht="14.25" customHeight="1">
      <c r="Q902" s="3"/>
      <c r="R902" s="3"/>
      <c r="U902" s="3"/>
    </row>
    <row r="903" spans="17:21" ht="14.25" customHeight="1">
      <c r="Q903" s="3"/>
      <c r="R903" s="3"/>
      <c r="U903" s="3"/>
    </row>
    <row r="904" spans="17:21" ht="14.25" customHeight="1">
      <c r="Q904" s="3"/>
      <c r="R904" s="3"/>
      <c r="U904" s="3"/>
    </row>
    <row r="905" spans="17:21" ht="14.25" customHeight="1">
      <c r="Q905" s="3"/>
      <c r="R905" s="3"/>
      <c r="U905" s="3"/>
    </row>
    <row r="906" spans="17:21" ht="14.25" customHeight="1">
      <c r="Q906" s="3"/>
      <c r="R906" s="3"/>
      <c r="U906" s="3"/>
    </row>
    <row r="907" spans="17:21" ht="14.25" customHeight="1">
      <c r="Q907" s="3"/>
      <c r="R907" s="3"/>
      <c r="U907" s="3"/>
    </row>
    <row r="908" spans="17:21" ht="14.25" customHeight="1">
      <c r="Q908" s="3"/>
      <c r="R908" s="3"/>
      <c r="U908" s="3"/>
    </row>
    <row r="909" spans="17:21" ht="14.25" customHeight="1">
      <c r="Q909" s="3"/>
      <c r="R909" s="3"/>
      <c r="U909" s="3"/>
    </row>
    <row r="910" spans="17:21" ht="14.25" customHeight="1">
      <c r="Q910" s="3"/>
      <c r="R910" s="3"/>
      <c r="U910" s="3"/>
    </row>
    <row r="911" spans="17:21" ht="14.25" customHeight="1">
      <c r="Q911" s="3"/>
      <c r="R911" s="3"/>
      <c r="U911" s="3"/>
    </row>
    <row r="912" spans="17:21" ht="14.25" customHeight="1">
      <c r="Q912" s="3"/>
      <c r="R912" s="3"/>
      <c r="U912" s="3"/>
    </row>
    <row r="913" spans="17:21" ht="14.25" customHeight="1">
      <c r="Q913" s="3"/>
      <c r="R913" s="3"/>
      <c r="U913" s="3"/>
    </row>
    <row r="914" spans="17:21" ht="14.25" customHeight="1">
      <c r="Q914" s="3"/>
      <c r="R914" s="3"/>
      <c r="U914" s="3"/>
    </row>
    <row r="915" spans="17:21" ht="14.25" customHeight="1">
      <c r="Q915" s="3"/>
      <c r="R915" s="3"/>
      <c r="U915" s="3"/>
    </row>
    <row r="916" spans="17:21" ht="14.25" customHeight="1">
      <c r="Q916" s="3"/>
      <c r="R916" s="3"/>
      <c r="U916" s="3"/>
    </row>
    <row r="917" spans="17:21" ht="14.25" customHeight="1">
      <c r="Q917" s="3"/>
      <c r="R917" s="3"/>
      <c r="U917" s="3"/>
    </row>
    <row r="918" spans="17:21" ht="14.25" customHeight="1">
      <c r="Q918" s="3"/>
      <c r="R918" s="3"/>
      <c r="U918" s="3"/>
    </row>
    <row r="919" spans="17:21" ht="14.25" customHeight="1">
      <c r="Q919" s="3"/>
      <c r="R919" s="3"/>
      <c r="U919" s="3"/>
    </row>
    <row r="920" spans="17:21" ht="14.25" customHeight="1">
      <c r="Q920" s="3"/>
      <c r="R920" s="3"/>
      <c r="U920" s="3"/>
    </row>
    <row r="921" spans="17:21" ht="14.25" customHeight="1">
      <c r="Q921" s="3"/>
      <c r="R921" s="3"/>
      <c r="U921" s="3"/>
    </row>
    <row r="922" spans="17:21" ht="14.25" customHeight="1">
      <c r="Q922" s="3"/>
      <c r="R922" s="3"/>
      <c r="U922" s="3"/>
    </row>
    <row r="923" spans="17:21" ht="14.25" customHeight="1">
      <c r="Q923" s="3"/>
      <c r="R923" s="3"/>
      <c r="U923" s="3"/>
    </row>
    <row r="924" spans="17:21" ht="14.25" customHeight="1">
      <c r="Q924" s="3"/>
      <c r="R924" s="3"/>
      <c r="U924" s="3"/>
    </row>
    <row r="925" spans="17:21" ht="14.25" customHeight="1">
      <c r="Q925" s="3"/>
      <c r="R925" s="3"/>
      <c r="U925" s="3"/>
    </row>
    <row r="926" spans="17:21" ht="14.25" customHeight="1">
      <c r="Q926" s="3"/>
      <c r="R926" s="3"/>
      <c r="U926" s="3"/>
    </row>
    <row r="927" spans="17:21" ht="14.25" customHeight="1">
      <c r="Q927" s="3"/>
      <c r="R927" s="3"/>
      <c r="U927" s="3"/>
    </row>
    <row r="928" spans="17:21" ht="14.25" customHeight="1">
      <c r="Q928" s="3"/>
      <c r="R928" s="3"/>
      <c r="U928" s="3"/>
    </row>
    <row r="929" spans="17:21" ht="14.25" customHeight="1">
      <c r="Q929" s="3"/>
      <c r="R929" s="3"/>
      <c r="U929" s="3"/>
    </row>
    <row r="930" spans="17:21" ht="14.25" customHeight="1">
      <c r="Q930" s="3"/>
      <c r="R930" s="3"/>
      <c r="U930" s="3"/>
    </row>
    <row r="931" spans="17:21" ht="14.25" customHeight="1">
      <c r="Q931" s="3"/>
      <c r="R931" s="3"/>
      <c r="U931" s="3"/>
    </row>
    <row r="932" spans="17:21" ht="14.25" customHeight="1">
      <c r="Q932" s="3"/>
      <c r="R932" s="3"/>
      <c r="U932" s="3"/>
    </row>
    <row r="933" spans="17:21" ht="14.25" customHeight="1">
      <c r="Q933" s="3"/>
      <c r="R933" s="3"/>
      <c r="U933" s="3"/>
    </row>
    <row r="934" spans="17:21" ht="14.25" customHeight="1">
      <c r="Q934" s="3"/>
      <c r="R934" s="3"/>
      <c r="U934" s="3"/>
    </row>
    <row r="935" spans="17:21" ht="14.25" customHeight="1">
      <c r="Q935" s="3"/>
      <c r="R935" s="3"/>
      <c r="U935" s="3"/>
    </row>
    <row r="936" spans="17:21" ht="14.25" customHeight="1">
      <c r="Q936" s="3"/>
      <c r="R936" s="3"/>
      <c r="U936" s="3"/>
    </row>
    <row r="937" spans="17:21" ht="14.25" customHeight="1">
      <c r="Q937" s="3"/>
      <c r="R937" s="3"/>
      <c r="U937" s="3"/>
    </row>
    <row r="938" spans="17:21" ht="14.25" customHeight="1">
      <c r="Q938" s="3"/>
      <c r="R938" s="3"/>
      <c r="U938" s="3"/>
    </row>
    <row r="939" spans="17:21" ht="14.25" customHeight="1">
      <c r="Q939" s="3"/>
      <c r="R939" s="3"/>
      <c r="U939" s="3"/>
    </row>
    <row r="940" spans="17:21" ht="14.25" customHeight="1">
      <c r="Q940" s="3"/>
      <c r="R940" s="3"/>
      <c r="U940" s="3"/>
    </row>
    <row r="941" spans="17:21" ht="14.25" customHeight="1">
      <c r="Q941" s="3"/>
      <c r="R941" s="3"/>
      <c r="U941" s="3"/>
    </row>
    <row r="942" spans="17:21" ht="14.25" customHeight="1">
      <c r="Q942" s="3"/>
      <c r="R942" s="3"/>
      <c r="U942" s="3"/>
    </row>
    <row r="943" spans="17:21" ht="14.25" customHeight="1">
      <c r="Q943" s="3"/>
      <c r="R943" s="3"/>
      <c r="U943" s="3"/>
    </row>
    <row r="944" spans="17:21" ht="14.25" customHeight="1">
      <c r="Q944" s="3"/>
      <c r="R944" s="3"/>
      <c r="U944" s="3"/>
    </row>
    <row r="945" spans="17:21" ht="14.25" customHeight="1">
      <c r="Q945" s="3"/>
      <c r="R945" s="3"/>
      <c r="U945" s="3"/>
    </row>
    <row r="946" spans="17:21" ht="14.25" customHeight="1">
      <c r="Q946" s="3"/>
      <c r="R946" s="3"/>
      <c r="U946" s="3"/>
    </row>
    <row r="947" spans="17:21" ht="14.25" customHeight="1">
      <c r="Q947" s="3"/>
      <c r="R947" s="3"/>
      <c r="U947" s="3"/>
    </row>
    <row r="948" spans="17:21" ht="14.25" customHeight="1">
      <c r="Q948" s="3"/>
      <c r="R948" s="3"/>
      <c r="U948" s="3"/>
    </row>
    <row r="949" spans="17:21" ht="14.25" customHeight="1">
      <c r="Q949" s="3"/>
      <c r="R949" s="3"/>
      <c r="U949" s="3"/>
    </row>
    <row r="950" spans="17:21" ht="14.25" customHeight="1">
      <c r="Q950" s="3"/>
      <c r="R950" s="3"/>
      <c r="U950" s="3"/>
    </row>
    <row r="951" spans="17:21" ht="14.25" customHeight="1">
      <c r="Q951" s="3"/>
      <c r="R951" s="3"/>
      <c r="U951" s="3"/>
    </row>
    <row r="952" spans="17:21" ht="14.25" customHeight="1">
      <c r="Q952" s="3"/>
      <c r="R952" s="3"/>
      <c r="U952" s="3"/>
    </row>
    <row r="953" spans="17:21" ht="14.25" customHeight="1">
      <c r="Q953" s="3"/>
      <c r="R953" s="3"/>
      <c r="U953" s="3"/>
    </row>
    <row r="954" spans="17:21" ht="14.25" customHeight="1">
      <c r="Q954" s="3"/>
      <c r="R954" s="3"/>
      <c r="U954" s="3"/>
    </row>
    <row r="955" spans="17:21" ht="14.25" customHeight="1">
      <c r="Q955" s="3"/>
      <c r="R955" s="3"/>
      <c r="U955" s="3"/>
    </row>
    <row r="956" spans="17:21" ht="14.25" customHeight="1">
      <c r="Q956" s="3"/>
      <c r="R956" s="3"/>
      <c r="U956" s="3"/>
    </row>
    <row r="957" spans="17:21" ht="14.25" customHeight="1">
      <c r="Q957" s="3"/>
      <c r="R957" s="3"/>
      <c r="U957" s="3"/>
    </row>
    <row r="958" spans="17:21" ht="14.25" customHeight="1">
      <c r="Q958" s="3"/>
      <c r="R958" s="3"/>
      <c r="U958" s="3"/>
    </row>
    <row r="959" spans="17:21" ht="14.25" customHeight="1">
      <c r="Q959" s="3"/>
      <c r="R959" s="3"/>
      <c r="U959" s="3"/>
    </row>
    <row r="960" spans="17:21" ht="14.25" customHeight="1">
      <c r="Q960" s="3"/>
      <c r="R960" s="3"/>
      <c r="U960" s="3"/>
    </row>
    <row r="961" spans="17:21" ht="14.25" customHeight="1">
      <c r="Q961" s="3"/>
      <c r="R961" s="3"/>
      <c r="U961" s="3"/>
    </row>
    <row r="962" spans="17:21" ht="14.25" customHeight="1">
      <c r="Q962" s="3"/>
      <c r="R962" s="3"/>
      <c r="U962" s="3"/>
    </row>
    <row r="963" spans="17:21" ht="14.25" customHeight="1">
      <c r="Q963" s="3"/>
      <c r="R963" s="3"/>
      <c r="U963" s="3"/>
    </row>
    <row r="964" spans="17:21" ht="14.25" customHeight="1">
      <c r="Q964" s="3"/>
      <c r="R964" s="3"/>
      <c r="U964" s="3"/>
    </row>
    <row r="965" spans="17:21" ht="14.25" customHeight="1">
      <c r="Q965" s="3"/>
      <c r="R965" s="3"/>
      <c r="U965" s="3"/>
    </row>
    <row r="966" spans="17:21" ht="14.25" customHeight="1">
      <c r="Q966" s="3"/>
      <c r="R966" s="3"/>
      <c r="U966" s="3"/>
    </row>
    <row r="967" spans="17:21" ht="14.25" customHeight="1">
      <c r="Q967" s="3"/>
      <c r="R967" s="3"/>
      <c r="U967" s="3"/>
    </row>
    <row r="968" spans="17:21" ht="14.25" customHeight="1">
      <c r="Q968" s="3"/>
      <c r="R968" s="3"/>
      <c r="U968" s="3"/>
    </row>
    <row r="969" spans="17:21" ht="14.25" customHeight="1">
      <c r="Q969" s="3"/>
      <c r="R969" s="3"/>
      <c r="U969" s="3"/>
    </row>
    <row r="970" spans="17:21" ht="14.25" customHeight="1">
      <c r="Q970" s="3"/>
      <c r="R970" s="3"/>
      <c r="U970" s="3"/>
    </row>
    <row r="971" spans="17:21" ht="14.25" customHeight="1">
      <c r="Q971" s="3"/>
      <c r="R971" s="3"/>
      <c r="U971" s="3"/>
    </row>
    <row r="972" spans="17:21" ht="14.25" customHeight="1">
      <c r="Q972" s="3"/>
      <c r="R972" s="3"/>
      <c r="U972" s="3"/>
    </row>
    <row r="973" spans="17:21" ht="14.25" customHeight="1">
      <c r="Q973" s="3"/>
      <c r="R973" s="3"/>
      <c r="U973" s="3"/>
    </row>
    <row r="974" spans="17:21" ht="14.25" customHeight="1">
      <c r="Q974" s="3"/>
      <c r="R974" s="3"/>
      <c r="U974" s="3"/>
    </row>
    <row r="975" spans="17:21" ht="14.25" customHeight="1">
      <c r="Q975" s="3"/>
      <c r="R975" s="3"/>
      <c r="U975" s="3"/>
    </row>
    <row r="976" spans="17:21" ht="14.25" customHeight="1">
      <c r="Q976" s="3"/>
      <c r="R976" s="3"/>
      <c r="U976" s="3"/>
    </row>
    <row r="977" spans="17:21" ht="14.25" customHeight="1">
      <c r="Q977" s="3"/>
      <c r="R977" s="3"/>
      <c r="U977" s="3"/>
    </row>
    <row r="978" spans="17:21" ht="14.25" customHeight="1">
      <c r="Q978" s="3"/>
      <c r="R978" s="3"/>
      <c r="U978" s="3"/>
    </row>
    <row r="979" spans="17:21" ht="14.25" customHeight="1">
      <c r="Q979" s="3"/>
      <c r="R979" s="3"/>
      <c r="U979" s="3"/>
    </row>
    <row r="980" spans="17:21" ht="14.25" customHeight="1">
      <c r="Q980" s="3"/>
      <c r="R980" s="3"/>
      <c r="U980" s="3"/>
    </row>
    <row r="981" spans="17:21" ht="14.25" customHeight="1">
      <c r="Q981" s="3"/>
      <c r="R981" s="3"/>
      <c r="U981" s="3"/>
    </row>
    <row r="982" spans="17:21" ht="14.25" customHeight="1">
      <c r="Q982" s="3"/>
      <c r="R982" s="3"/>
      <c r="U982" s="3"/>
    </row>
    <row r="983" spans="17:21" ht="14.25" customHeight="1">
      <c r="Q983" s="3"/>
      <c r="R983" s="3"/>
      <c r="U983" s="3"/>
    </row>
    <row r="984" spans="17:21" ht="14.25" customHeight="1">
      <c r="Q984" s="3"/>
      <c r="R984" s="3"/>
      <c r="U984" s="3"/>
    </row>
    <row r="985" spans="17:21" ht="14.25" customHeight="1">
      <c r="Q985" s="3"/>
      <c r="R985" s="3"/>
      <c r="U985" s="3"/>
    </row>
    <row r="986" spans="17:21" ht="14.25" customHeight="1">
      <c r="Q986" s="3"/>
      <c r="R986" s="3"/>
      <c r="U986" s="3"/>
    </row>
    <row r="987" spans="17:21" ht="14.25" customHeight="1">
      <c r="Q987" s="3"/>
      <c r="R987" s="3"/>
      <c r="U987" s="3"/>
    </row>
    <row r="988" spans="17:21" ht="14.25" customHeight="1">
      <c r="Q988" s="3"/>
      <c r="R988" s="3"/>
      <c r="U988" s="3"/>
    </row>
    <row r="989" spans="17:21" ht="14.25" customHeight="1">
      <c r="Q989" s="3"/>
      <c r="R989" s="3"/>
      <c r="U989" s="3"/>
    </row>
    <row r="990" spans="17:21" ht="14.25" customHeight="1">
      <c r="Q990" s="3"/>
      <c r="R990" s="3"/>
      <c r="U990" s="3"/>
    </row>
    <row r="991" spans="17:21" ht="14.25" customHeight="1">
      <c r="Q991" s="3"/>
      <c r="R991" s="3"/>
      <c r="U991" s="3"/>
    </row>
    <row r="992" spans="17:21" ht="14.25" customHeight="1">
      <c r="Q992" s="3"/>
      <c r="R992" s="3"/>
      <c r="U992" s="3"/>
    </row>
    <row r="993" spans="17:21" ht="14.25" customHeight="1">
      <c r="Q993" s="3"/>
      <c r="R993" s="3"/>
      <c r="U993" s="3"/>
    </row>
    <row r="994" spans="17:21" ht="14.25" customHeight="1">
      <c r="Q994" s="3"/>
      <c r="R994" s="3"/>
      <c r="U994" s="3"/>
    </row>
    <row r="995" spans="17:21" ht="14.25" customHeight="1">
      <c r="Q995" s="3"/>
      <c r="R995" s="3"/>
      <c r="U995" s="3"/>
    </row>
    <row r="996" spans="17:21" ht="14.25" customHeight="1">
      <c r="Q996" s="3"/>
      <c r="R996" s="3"/>
      <c r="U996" s="3"/>
    </row>
    <row r="997" spans="17:21" ht="14.25" customHeight="1">
      <c r="Q997" s="3"/>
      <c r="R997" s="3"/>
      <c r="U997" s="3"/>
    </row>
    <row r="998" spans="17:21" ht="14.25" customHeight="1">
      <c r="Q998" s="3"/>
      <c r="R998" s="3"/>
      <c r="U998" s="3"/>
    </row>
    <row r="999" spans="17:21" ht="14.25" customHeight="1">
      <c r="Q999" s="3"/>
      <c r="R999" s="3"/>
      <c r="U999" s="3"/>
    </row>
    <row r="1000" spans="17:21" ht="14.25" customHeight="1">
      <c r="Q1000" s="3"/>
      <c r="R1000" s="3"/>
      <c r="U1000" s="3"/>
    </row>
    <row r="1001" spans="17:21" ht="14.25" customHeight="1">
      <c r="Q1001" s="3"/>
      <c r="R1001" s="3"/>
      <c r="U1001" s="3"/>
    </row>
  </sheetData>
  <mergeCells count="3">
    <mergeCell ref="B3:J3"/>
    <mergeCell ref="C5:E5"/>
    <mergeCell ref="F5:H5"/>
  </mergeCells>
  <phoneticPr fontId="16" type="noConversion"/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D7CD3F7F90174C8BBEE51BEA6106ED" ma:contentTypeVersion="12" ma:contentTypeDescription="Crée un document." ma:contentTypeScope="" ma:versionID="d7544f1e879a20825b0b5ee67eb9c30b">
  <xsd:schema xmlns:xsd="http://www.w3.org/2001/XMLSchema" xmlns:xs="http://www.w3.org/2001/XMLSchema" xmlns:p="http://schemas.microsoft.com/office/2006/metadata/properties" xmlns:ns2="a2417512-4eee-410b-932e-3f04dd3f4b40" xmlns:ns3="5fcd851c-80db-489c-9474-c4d233511500" targetNamespace="http://schemas.microsoft.com/office/2006/metadata/properties" ma:root="true" ma:fieldsID="4d8443ceb2fb60c34dd6c3e28a22866b" ns2:_="" ns3:_="">
    <xsd:import namespace="a2417512-4eee-410b-932e-3f04dd3f4b40"/>
    <xsd:import namespace="5fcd851c-80db-489c-9474-c4d2335115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7512-4eee-410b-932e-3f04dd3f4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74adcb9-9639-454f-bd53-a051c6bc34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d851c-80db-489c-9474-c4d23351150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6646925-acf8-4710-b2ab-00402e095f53}" ma:internalName="TaxCatchAll" ma:showField="CatchAllData" ma:web="5fcd851c-80db-489c-9474-c4d2335115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417512-4eee-410b-932e-3f04dd3f4b40">
      <Terms xmlns="http://schemas.microsoft.com/office/infopath/2007/PartnerControls"/>
    </lcf76f155ced4ddcb4097134ff3c332f>
    <TaxCatchAll xmlns="5fcd851c-80db-489c-9474-c4d233511500" xsi:nil="true"/>
  </documentManagement>
</p:properties>
</file>

<file path=customXml/itemProps1.xml><?xml version="1.0" encoding="utf-8"?>
<ds:datastoreItem xmlns:ds="http://schemas.openxmlformats.org/officeDocument/2006/customXml" ds:itemID="{51807C90-35E4-48DB-AFAC-7A9BA834B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7512-4eee-410b-932e-3f04dd3f4b40"/>
    <ds:schemaRef ds:uri="5fcd851c-80db-489c-9474-c4d2335115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54B760-0D7A-4336-9582-50E86D4D5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412B3B-08D5-426B-83C8-09E4324D759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a2417512-4eee-410b-932e-3f04dd3f4b40"/>
    <ds:schemaRef ds:uri="http://purl.org/dc/elements/1.1/"/>
    <ds:schemaRef ds:uri="http://schemas.openxmlformats.org/package/2006/metadata/core-properties"/>
    <ds:schemaRef ds:uri="5fcd851c-80db-489c-9474-c4d2335115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1-Goal and scope definition</vt:lpstr>
      <vt:lpstr>2-Inventory analysis-HTS</vt:lpstr>
      <vt:lpstr>3.0-HTS Cable design</vt:lpstr>
      <vt:lpstr>3-Calculation of indicators</vt:lpstr>
      <vt:lpstr>4-Interpretation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 Queval</dc:creator>
  <cp:keywords/>
  <dc:description/>
  <cp:lastModifiedBy>Musso Andrea (RSE)</cp:lastModifiedBy>
  <cp:revision/>
  <dcterms:created xsi:type="dcterms:W3CDTF">2024-03-11T14:03:53Z</dcterms:created>
  <dcterms:modified xsi:type="dcterms:W3CDTF">2024-04-12T07:15:55Z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0x010100F6D7CD3F7F90174C8BBEE51BEA6106ED</vt:lpwstr>
  </property>
  <property fmtid="{D5CDD505-2E9C-101B-9397-08002B2CF9AE}" pid="3" name="MediaServiceImageTags">
    <vt:lpwstr/>
  </property>
</Properties>
</file>