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ïc Queval\Desktop\HTS_COST_20240407_backup\3rd HTS school HTS power cable\Excel\"/>
    </mc:Choice>
  </mc:AlternateContent>
  <xr:revisionPtr revIDLastSave="0" documentId="13_ncr:1_{3A18F34C-D548-4F3E-90F9-6243E4B6611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 - Goal and scope definition" sheetId="5" r:id="rId1"/>
    <sheet name="2 - Inventory analysis" sheetId="1" r:id="rId2"/>
    <sheet name="3 - Calculation of indicators" sheetId="3" r:id="rId3"/>
    <sheet name="4 - Interpretation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6" i="3"/>
  <c r="C18" i="3" l="1"/>
  <c r="C6" i="3"/>
  <c r="C7" i="3" s="1"/>
  <c r="C8" i="3" l="1"/>
  <c r="C13" i="3" s="1"/>
  <c r="C29" i="3"/>
  <c r="C10" i="3"/>
  <c r="C22" i="3"/>
  <c r="C19" i="3"/>
  <c r="C20" i="3" s="1"/>
  <c r="C23" i="3" s="1"/>
  <c r="C9" i="3"/>
  <c r="C35" i="3" l="1"/>
  <c r="C11" i="3"/>
  <c r="C14" i="3"/>
  <c r="C36" i="3" s="1"/>
  <c r="H9" i="3" l="1"/>
  <c r="H29" i="3"/>
  <c r="H10" i="3"/>
  <c r="H30" i="3"/>
  <c r="H11" i="3"/>
  <c r="H31" i="3"/>
  <c r="H12" i="3"/>
  <c r="H32" i="3"/>
  <c r="H13" i="3"/>
  <c r="H33" i="3"/>
  <c r="H14" i="3"/>
  <c r="H34" i="3"/>
  <c r="H15" i="3"/>
  <c r="H35" i="3"/>
  <c r="H37" i="3"/>
  <c r="H38" i="3"/>
  <c r="H19" i="3"/>
  <c r="H20" i="3"/>
  <c r="H21" i="3"/>
  <c r="H22" i="3"/>
  <c r="H23" i="3"/>
  <c r="H24" i="3"/>
  <c r="H25" i="3"/>
  <c r="H26" i="3"/>
  <c r="H8" i="3"/>
  <c r="H28" i="3"/>
  <c r="H16" i="3"/>
  <c r="H36" i="3"/>
  <c r="H17" i="3"/>
  <c r="H18" i="3"/>
  <c r="H39" i="3"/>
  <c r="H40" i="3"/>
  <c r="H41" i="3"/>
  <c r="H42" i="3"/>
  <c r="H43" i="3"/>
  <c r="H44" i="3"/>
  <c r="H45" i="3"/>
  <c r="H7" i="3"/>
  <c r="H27" i="3"/>
  <c r="H6" i="3"/>
  <c r="I47" i="3" s="1"/>
  <c r="I46" i="3" l="1"/>
  <c r="C37" i="3" s="1"/>
  <c r="I48" i="3"/>
</calcChain>
</file>

<file path=xl/sharedStrings.xml><?xml version="1.0" encoding="utf-8"?>
<sst xmlns="http://schemas.openxmlformats.org/spreadsheetml/2006/main" count="378" uniqueCount="186">
  <si>
    <t>Phase 1: Goal and scope definition</t>
  </si>
  <si>
    <t>Goal</t>
  </si>
  <si>
    <t>Product system</t>
  </si>
  <si>
    <t>Intended application and reasons for study</t>
  </si>
  <si>
    <t>Brief description</t>
  </si>
  <si>
    <t>Intended audience</t>
  </si>
  <si>
    <t>Comissioners and assessors</t>
  </si>
  <si>
    <t>Limitations of study</t>
  </si>
  <si>
    <t>Scope</t>
  </si>
  <si>
    <t>System boundary</t>
  </si>
  <si>
    <t>Benchmark system</t>
  </si>
  <si>
    <t>Plant size</t>
  </si>
  <si>
    <t>Functional unit</t>
  </si>
  <si>
    <t>System elements and technology maturity</t>
  </si>
  <si>
    <t>Performance indicators</t>
  </si>
  <si>
    <t>Life cycle cost</t>
  </si>
  <si>
    <t>Time horizon</t>
  </si>
  <si>
    <t>40 years</t>
  </si>
  <si>
    <t>Location</t>
  </si>
  <si>
    <t>Operation continuity</t>
  </si>
  <si>
    <t>Phase 2: Inventory analysis</t>
  </si>
  <si>
    <t>Technical parameter</t>
  </si>
  <si>
    <t>Symbol</t>
  </si>
  <si>
    <t>Units</t>
  </si>
  <si>
    <t>Comment</t>
  </si>
  <si>
    <t>Economic parameter</t>
  </si>
  <si>
    <t>-</t>
  </si>
  <si>
    <t>€</t>
  </si>
  <si>
    <t>nhpy</t>
  </si>
  <si>
    <t>LCC</t>
  </si>
  <si>
    <t>Phase 3: Calculation of indicators</t>
  </si>
  <si>
    <t>Variable</t>
  </si>
  <si>
    <t>Technical model</t>
  </si>
  <si>
    <t>Year</t>
  </si>
  <si>
    <t>Economic model</t>
  </si>
  <si>
    <t>Capital expenditure (assumed at t=0)</t>
  </si>
  <si>
    <t>Yearly operational expenditure</t>
  </si>
  <si>
    <t>OPEX_t</t>
  </si>
  <si>
    <t>NVP 10 years</t>
  </si>
  <si>
    <t>NVP 25 years</t>
  </si>
  <si>
    <t>NVP 40 years</t>
  </si>
  <si>
    <t>Phase 4: Interpretation</t>
  </si>
  <si>
    <t>Sensitivity analysis</t>
  </si>
  <si>
    <t>LCC 1</t>
  </si>
  <si>
    <t>LCC 2</t>
  </si>
  <si>
    <t>LCC 4</t>
  </si>
  <si>
    <t>LCC 5</t>
  </si>
  <si>
    <t>Life cycle cost (T=10y, r=0)</t>
  </si>
  <si>
    <t>LCC 7</t>
  </si>
  <si>
    <t>Life cycle cost (T=10y, r=0.05)</t>
  </si>
  <si>
    <t>LCC 8</t>
  </si>
  <si>
    <t>Aluminum power cable system</t>
  </si>
  <si>
    <t>Comparison with HTS cable system</t>
  </si>
  <si>
    <t>Cable</t>
  </si>
  <si>
    <t>Transformer</t>
  </si>
  <si>
    <t>System</t>
  </si>
  <si>
    <t>Value</t>
  </si>
  <si>
    <t>cable length</t>
  </si>
  <si>
    <t>nominal power</t>
  </si>
  <si>
    <t>nominal voltage</t>
  </si>
  <si>
    <t>nominal power factor</t>
  </si>
  <si>
    <t>frequency</t>
  </si>
  <si>
    <t xml:space="preserve">[m] </t>
  </si>
  <si>
    <t xml:space="preserve">[W] </t>
  </si>
  <si>
    <t xml:space="preserve">[V L-L RMS] </t>
  </si>
  <si>
    <t xml:space="preserve">[-] </t>
  </si>
  <si>
    <t>[Hz]</t>
  </si>
  <si>
    <t>Ln</t>
  </si>
  <si>
    <t>Pn</t>
  </si>
  <si>
    <t>Un</t>
  </si>
  <si>
    <t>PFn</t>
  </si>
  <si>
    <t>f</t>
  </si>
  <si>
    <t>cost of electricity</t>
  </si>
  <si>
    <t>nb of operating hours year</t>
  </si>
  <si>
    <t>8760 hours in a year, considering 8 hours per day</t>
  </si>
  <si>
    <t>15€/MWh</t>
  </si>
  <si>
    <t>system lifetime</t>
  </si>
  <si>
    <t>discount rate</t>
  </si>
  <si>
    <t xml:space="preserve">[€/Wh]  </t>
  </si>
  <si>
    <t xml:space="preserve">[years] </t>
  </si>
  <si>
    <t>Celec</t>
  </si>
  <si>
    <t>L</t>
  </si>
  <si>
    <t>dr</t>
  </si>
  <si>
    <t>ampacity</t>
  </si>
  <si>
    <t>AC resistance per m @90degC</t>
  </si>
  <si>
    <t>inductance per m</t>
  </si>
  <si>
    <t>Factor of loss of insulation</t>
  </si>
  <si>
    <t>capacitance per m</t>
  </si>
  <si>
    <t xml:space="preserve">[kV L-N RMS] </t>
  </si>
  <si>
    <t xml:space="preserve">[A/core] </t>
  </si>
  <si>
    <t xml:space="preserve">[Ohm/m] </t>
  </si>
  <si>
    <t xml:space="preserve">[H/m] </t>
  </si>
  <si>
    <t xml:space="preserve">[F/m] </t>
  </si>
  <si>
    <t>[-]</t>
  </si>
  <si>
    <t xml:space="preserve">Vn_cab </t>
  </si>
  <si>
    <t>In_cab</t>
  </si>
  <si>
    <t>r_cab</t>
  </si>
  <si>
    <t>l_cab</t>
  </si>
  <si>
    <t>c_cab</t>
  </si>
  <si>
    <t>tand_cab</t>
  </si>
  <si>
    <t>C_cab</t>
  </si>
  <si>
    <t>C_land</t>
  </si>
  <si>
    <t>[€/m/core]</t>
  </si>
  <si>
    <t>including trench, laying, routing, fittings, tests, etc.</t>
  </si>
  <si>
    <t>cable cost per km per core</t>
  </si>
  <si>
    <t>cost of land</t>
  </si>
  <si>
    <t xml:space="preserve">[€/m] </t>
  </si>
  <si>
    <t>Sn_transfo</t>
  </si>
  <si>
    <t>eta_transfo</t>
  </si>
  <si>
    <t>[VA]</t>
  </si>
  <si>
    <t>nominal apparent power</t>
  </si>
  <si>
    <t>efficiency</t>
  </si>
  <si>
    <t>UC_transfo</t>
  </si>
  <si>
    <t>Unit cost of a 800 MVA transfo</t>
  </si>
  <si>
    <t xml:space="preserve">[€] </t>
  </si>
  <si>
    <t>Circuit nominal current</t>
  </si>
  <si>
    <t>In = Pn/(sqrt(3)*Un*PFn)</t>
  </si>
  <si>
    <t xml:space="preserve">[A] </t>
  </si>
  <si>
    <t>In</t>
  </si>
  <si>
    <t>Ncir</t>
  </si>
  <si>
    <t>Ncir = ceil(In/In_cab)</t>
  </si>
  <si>
    <t>N_cab = 3*Ncir</t>
  </si>
  <si>
    <t>Pj_cab = N_cab*r_cab*Ln*In_cab^2</t>
  </si>
  <si>
    <t>Pd_cab = N_cab*2*pi*f*c_cab*Ln*Vn_cab^2*tand_cab</t>
  </si>
  <si>
    <t>AElosses_cab = (Pj_cab+Pd_cab)*nhpy</t>
  </si>
  <si>
    <t>[W]</t>
  </si>
  <si>
    <t>[Wh]</t>
  </si>
  <si>
    <t>Nb of circuits</t>
  </si>
  <si>
    <t>Nb of cables</t>
  </si>
  <si>
    <t>Joule losses</t>
  </si>
  <si>
    <t>Dielectric losses</t>
  </si>
  <si>
    <t>annual energy losses</t>
  </si>
  <si>
    <t>N_cab</t>
  </si>
  <si>
    <t>Pj_cab</t>
  </si>
  <si>
    <t>Pd_cab</t>
  </si>
  <si>
    <t>OPEX_cab = Celec*AElosses_cab</t>
  </si>
  <si>
    <t>investment cost</t>
  </si>
  <si>
    <t>annual cost of losses</t>
  </si>
  <si>
    <t xml:space="preserve">[€/year] </t>
  </si>
  <si>
    <t>CAPEX_cab</t>
  </si>
  <si>
    <t>OPEX_cab</t>
  </si>
  <si>
    <t>[€]</t>
  </si>
  <si>
    <t>AElosses_transfo = Plosses_transfo*nhpy</t>
  </si>
  <si>
    <t>Nb of 3ph transfo</t>
  </si>
  <si>
    <t>power losses</t>
  </si>
  <si>
    <t xml:space="preserve">[Wh] </t>
  </si>
  <si>
    <t>N_transfo = 2*ceil(Pn/PFn/Sn_transfo), 2x bc one transfo at each end of the line, account for 0% margin</t>
  </si>
  <si>
    <t>N_transfo</t>
  </si>
  <si>
    <t>Plosses_transfo</t>
  </si>
  <si>
    <t>AElosses_transfo</t>
  </si>
  <si>
    <t>CAPEX_transfo = N_transfo*UC_transfo</t>
  </si>
  <si>
    <t>OPEX_transfo = Celec*AElosses_transfo</t>
  </si>
  <si>
    <t>investment cost of transfo</t>
  </si>
  <si>
    <t>CAPEX_transfo</t>
  </si>
  <si>
    <t>OPEX_transfo</t>
  </si>
  <si>
    <t>AElosses_cab</t>
  </si>
  <si>
    <t>Life cycle cost (T=40y, dr=0.05)</t>
  </si>
  <si>
    <t>CAPEX</t>
  </si>
  <si>
    <t>Transmission link between solar plant and substation</t>
  </si>
  <si>
    <t>2 GW</t>
  </si>
  <si>
    <t>750 MW</t>
  </si>
  <si>
    <t>Life cycle cost (LCC)</t>
  </si>
  <si>
    <t>8 hours a day</t>
  </si>
  <si>
    <t>Tutorial HTS school COST ACTION Hi-scale</t>
  </si>
  <si>
    <t>L. Quéval &amp; A. Musso</t>
  </si>
  <si>
    <t>Do not trust the data !</t>
  </si>
  <si>
    <t>Cable system including transformer</t>
  </si>
  <si>
    <t>400 kV underground cable</t>
  </si>
  <si>
    <t>TRL 9</t>
  </si>
  <si>
    <t>Saudi Arabia</t>
  </si>
  <si>
    <t>Discounted Cost</t>
  </si>
  <si>
    <t>Cost</t>
  </si>
  <si>
    <t>CAPEX+OPEX</t>
  </si>
  <si>
    <t>OPEX</t>
  </si>
  <si>
    <t>LCC= Sum((CAPEX_t+OPEX_t)/(1+r)^y)</t>
  </si>
  <si>
    <t>Plosses_transfo = N_transfo*(1-eta_transfo)*Sn_transfo</t>
  </si>
  <si>
    <t>Land</t>
  </si>
  <si>
    <t>CAPEX_land</t>
  </si>
  <si>
    <t>CAPEX_land = Ncir*C_land*Ln</t>
  </si>
  <si>
    <t>CAPEX_cab = N_cab*C_cab*Ln</t>
  </si>
  <si>
    <t>Life cycle cost (T=40y, dr=0)</t>
  </si>
  <si>
    <t>Life cycle cost (T=25y, dr=0.05)</t>
  </si>
  <si>
    <t>Life cycle cost (T=25y, dr=0)</t>
  </si>
  <si>
    <t>40 years and discount rate = 0.05</t>
  </si>
  <si>
    <t>TEA of a conventional underground power cable between Al Dhafra PV power plant and Dubai airport</t>
  </si>
  <si>
    <t>20€/m2 *1.8m of right of way per 1x 3ph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</si>
</sst>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\k\€"/>
    <numFmt numFmtId="165" formatCode="#,##0.00\ \k\€"/>
    <numFmt numFmtId="166" formatCode="#,##0.00\ &quot;€&quot;"/>
    <numFmt numFmtId="167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onsolas"/>
      <family val="3"/>
    </font>
    <font>
      <sz val="11"/>
      <color theme="1"/>
      <name val="Calibri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4" xfId="0" applyFont="1" applyBorder="1"/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11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11" fontId="3" fillId="0" borderId="1" xfId="0" applyNumberFormat="1" applyFont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11" fontId="3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/>
    </xf>
    <xf numFmtId="0" fontId="11" fillId="0" borderId="5" xfId="0" applyFont="1" applyBorder="1"/>
    <xf numFmtId="165" fontId="0" fillId="0" borderId="1" xfId="0" applyNumberFormat="1" applyBorder="1"/>
    <xf numFmtId="167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0" fontId="13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5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F322-99E9-4E4D-8370-A3D5EB80268C}">
  <dimension ref="A1:T18"/>
  <sheetViews>
    <sheetView workbookViewId="0">
      <selection activeCell="B28" sqref="B28"/>
    </sheetView>
  </sheetViews>
  <sheetFormatPr baseColWidth="10" defaultColWidth="11.42578125" defaultRowHeight="15" customHeight="1" x14ac:dyDescent="0.25"/>
  <cols>
    <col min="2" max="2" width="44.28515625" customWidth="1"/>
    <col min="3" max="3" width="92.7109375" bestFit="1" customWidth="1"/>
  </cols>
  <sheetData>
    <row r="1" spans="1:20" ht="15" customHeight="1" x14ac:dyDescent="0.25">
      <c r="A1" s="2" t="s">
        <v>184</v>
      </c>
      <c r="B1" s="2"/>
      <c r="C1" s="2"/>
      <c r="D1" s="2"/>
      <c r="H1" s="8"/>
      <c r="K1" s="8"/>
      <c r="P1" s="9"/>
      <c r="Q1" s="9"/>
      <c r="T1" s="9"/>
    </row>
    <row r="2" spans="1:20" ht="15" customHeight="1" x14ac:dyDescent="0.25">
      <c r="A2" s="2" t="s">
        <v>0</v>
      </c>
      <c r="B2" s="2"/>
      <c r="C2" s="2"/>
      <c r="D2" s="2"/>
      <c r="H2" s="8"/>
      <c r="K2" s="8"/>
      <c r="P2" s="9"/>
      <c r="Q2" s="9"/>
      <c r="T2" s="9"/>
    </row>
    <row r="4" spans="1:20" ht="15" customHeight="1" x14ac:dyDescent="0.25">
      <c r="A4" s="66" t="s">
        <v>1</v>
      </c>
      <c r="B4" s="33" t="s">
        <v>2</v>
      </c>
      <c r="C4" s="11" t="s">
        <v>51</v>
      </c>
    </row>
    <row r="5" spans="1:20" ht="15" customHeight="1" x14ac:dyDescent="0.25">
      <c r="A5" s="66"/>
      <c r="B5" s="35" t="s">
        <v>3</v>
      </c>
      <c r="C5" s="11" t="s">
        <v>52</v>
      </c>
    </row>
    <row r="6" spans="1:20" ht="15" customHeight="1" x14ac:dyDescent="0.25">
      <c r="A6" s="66"/>
      <c r="B6" s="33" t="s">
        <v>4</v>
      </c>
      <c r="C6" s="57" t="s">
        <v>158</v>
      </c>
    </row>
    <row r="7" spans="1:20" ht="15" customHeight="1" x14ac:dyDescent="0.25">
      <c r="A7" s="66"/>
      <c r="B7" s="33" t="s">
        <v>5</v>
      </c>
      <c r="C7" s="11" t="s">
        <v>163</v>
      </c>
    </row>
    <row r="8" spans="1:20" ht="15" customHeight="1" x14ac:dyDescent="0.25">
      <c r="A8" s="66"/>
      <c r="B8" s="33" t="s">
        <v>6</v>
      </c>
      <c r="C8" s="11" t="s">
        <v>164</v>
      </c>
    </row>
    <row r="9" spans="1:20" ht="15" customHeight="1" x14ac:dyDescent="0.25">
      <c r="A9" s="66"/>
      <c r="B9" s="33" t="s">
        <v>7</v>
      </c>
      <c r="C9" s="11" t="s">
        <v>165</v>
      </c>
    </row>
    <row r="10" spans="1:20" ht="15" customHeight="1" x14ac:dyDescent="0.25">
      <c r="A10" s="67" t="s">
        <v>8</v>
      </c>
      <c r="B10" s="33" t="s">
        <v>9</v>
      </c>
      <c r="C10" s="11" t="s">
        <v>166</v>
      </c>
    </row>
    <row r="11" spans="1:20" ht="15" customHeight="1" x14ac:dyDescent="0.25">
      <c r="A11" s="68"/>
      <c r="B11" s="33" t="s">
        <v>10</v>
      </c>
      <c r="C11" s="11" t="s">
        <v>167</v>
      </c>
    </row>
    <row r="12" spans="1:20" ht="15" customHeight="1" x14ac:dyDescent="0.25">
      <c r="A12" s="68"/>
      <c r="B12" s="33" t="s">
        <v>11</v>
      </c>
      <c r="C12" s="11" t="s">
        <v>159</v>
      </c>
    </row>
    <row r="13" spans="1:20" ht="15" customHeight="1" x14ac:dyDescent="0.25">
      <c r="A13" s="68"/>
      <c r="B13" s="33" t="s">
        <v>12</v>
      </c>
      <c r="C13" s="11" t="s">
        <v>160</v>
      </c>
    </row>
    <row r="14" spans="1:20" ht="15" customHeight="1" x14ac:dyDescent="0.25">
      <c r="A14" s="68"/>
      <c r="B14" s="33" t="s">
        <v>13</v>
      </c>
      <c r="C14" s="11" t="s">
        <v>168</v>
      </c>
    </row>
    <row r="15" spans="1:20" ht="15" customHeight="1" x14ac:dyDescent="0.25">
      <c r="A15" s="68"/>
      <c r="B15" s="33" t="s">
        <v>14</v>
      </c>
      <c r="C15" s="11" t="s">
        <v>161</v>
      </c>
    </row>
    <row r="16" spans="1:20" ht="15" customHeight="1" x14ac:dyDescent="0.25">
      <c r="A16" s="68"/>
      <c r="B16" s="33" t="s">
        <v>16</v>
      </c>
      <c r="C16" s="11" t="s">
        <v>17</v>
      </c>
    </row>
    <row r="17" spans="1:3" ht="15" customHeight="1" x14ac:dyDescent="0.25">
      <c r="A17" s="68"/>
      <c r="B17" s="33" t="s">
        <v>18</v>
      </c>
      <c r="C17" s="11" t="s">
        <v>169</v>
      </c>
    </row>
    <row r="18" spans="1:3" ht="15" customHeight="1" x14ac:dyDescent="0.25">
      <c r="A18" s="68"/>
      <c r="B18" s="33" t="s">
        <v>19</v>
      </c>
      <c r="C18" s="11" t="s">
        <v>162</v>
      </c>
    </row>
  </sheetData>
  <mergeCells count="2">
    <mergeCell ref="A4:A9"/>
    <mergeCell ref="A10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topLeftCell="A10" workbookViewId="0">
      <selection activeCell="G27" sqref="G27"/>
    </sheetView>
  </sheetViews>
  <sheetFormatPr baseColWidth="10" defaultColWidth="8.85546875" defaultRowHeight="15" customHeight="1" x14ac:dyDescent="0.25"/>
  <cols>
    <col min="1" max="1" width="38.85546875" customWidth="1"/>
    <col min="2" max="2" width="15.7109375" customWidth="1"/>
    <col min="3" max="4" width="11.140625" customWidth="1"/>
    <col min="5" max="5" width="48" customWidth="1"/>
    <col min="6" max="6" width="22.85546875" customWidth="1"/>
    <col min="7" max="7" width="17" style="8" customWidth="1"/>
    <col min="8" max="8" width="15" customWidth="1"/>
    <col min="9" max="9" width="13.28515625" customWidth="1"/>
    <col min="10" max="10" width="10.7109375" style="8" bestFit="1" customWidth="1"/>
    <col min="11" max="11" width="14.28515625" customWidth="1"/>
    <col min="12" max="12" width="14" customWidth="1"/>
    <col min="14" max="14" width="13.42578125" customWidth="1"/>
    <col min="15" max="15" width="15.140625" style="9" customWidth="1"/>
    <col min="16" max="16" width="17.28515625" style="9" customWidth="1"/>
    <col min="18" max="18" width="17" customWidth="1"/>
    <col min="19" max="19" width="14" style="9" customWidth="1"/>
    <col min="20" max="20" width="16.42578125" customWidth="1"/>
  </cols>
  <sheetData>
    <row r="1" spans="1:6" ht="15" customHeight="1" x14ac:dyDescent="0.25">
      <c r="A1" s="2" t="s">
        <v>184</v>
      </c>
      <c r="B1" s="2"/>
      <c r="C1" s="2"/>
    </row>
    <row r="2" spans="1:6" ht="15" customHeight="1" x14ac:dyDescent="0.25">
      <c r="A2" s="2" t="s">
        <v>20</v>
      </c>
      <c r="B2" s="2"/>
      <c r="C2" s="2"/>
    </row>
    <row r="3" spans="1:6" ht="15" customHeight="1" x14ac:dyDescent="0.25">
      <c r="A3" s="2"/>
      <c r="B3" s="2"/>
      <c r="C3" s="2"/>
    </row>
    <row r="4" spans="1:6" ht="15" customHeight="1" x14ac:dyDescent="0.35">
      <c r="A4" s="69" t="s">
        <v>55</v>
      </c>
      <c r="B4" s="69"/>
      <c r="C4" s="69"/>
      <c r="D4" s="69"/>
      <c r="E4" s="69"/>
    </row>
    <row r="5" spans="1:6" ht="15" customHeight="1" x14ac:dyDescent="0.25">
      <c r="A5" s="33" t="s">
        <v>21</v>
      </c>
      <c r="B5" s="34" t="s">
        <v>22</v>
      </c>
      <c r="C5" s="34" t="s">
        <v>56</v>
      </c>
      <c r="D5" s="34" t="s">
        <v>23</v>
      </c>
      <c r="E5" s="34" t="s">
        <v>24</v>
      </c>
    </row>
    <row r="6" spans="1:6" ht="15" customHeight="1" x14ac:dyDescent="0.25">
      <c r="A6" s="40" t="s">
        <v>57</v>
      </c>
      <c r="B6" s="18" t="s">
        <v>67</v>
      </c>
      <c r="C6" s="52">
        <v>32000</v>
      </c>
      <c r="D6" s="10" t="s">
        <v>62</v>
      </c>
      <c r="E6" s="11"/>
      <c r="F6" s="38"/>
    </row>
    <row r="7" spans="1:6" ht="15" customHeight="1" x14ac:dyDescent="0.25">
      <c r="A7" s="40" t="s">
        <v>58</v>
      </c>
      <c r="B7" s="19" t="s">
        <v>68</v>
      </c>
      <c r="C7" s="43">
        <v>1500000000</v>
      </c>
      <c r="D7" s="10" t="s">
        <v>63</v>
      </c>
      <c r="E7" s="11"/>
      <c r="F7" s="38"/>
    </row>
    <row r="8" spans="1:6" ht="15" customHeight="1" x14ac:dyDescent="0.25">
      <c r="A8" s="40" t="s">
        <v>59</v>
      </c>
      <c r="B8" s="18" t="s">
        <v>69</v>
      </c>
      <c r="C8" s="39">
        <v>400000</v>
      </c>
      <c r="D8" s="10" t="s">
        <v>64</v>
      </c>
      <c r="E8" s="11"/>
      <c r="F8" s="38"/>
    </row>
    <row r="9" spans="1:6" ht="15" customHeight="1" x14ac:dyDescent="0.25">
      <c r="A9" s="40" t="s">
        <v>60</v>
      </c>
      <c r="B9" s="18" t="s">
        <v>70</v>
      </c>
      <c r="C9" s="48">
        <v>0.95</v>
      </c>
      <c r="D9" s="10" t="s">
        <v>65</v>
      </c>
      <c r="E9" s="11"/>
      <c r="F9" s="38"/>
    </row>
    <row r="10" spans="1:6" ht="15" customHeight="1" x14ac:dyDescent="0.25">
      <c r="A10" s="41" t="s">
        <v>61</v>
      </c>
      <c r="B10" s="20" t="s">
        <v>71</v>
      </c>
      <c r="C10" s="50">
        <v>50</v>
      </c>
      <c r="D10" s="3" t="s">
        <v>66</v>
      </c>
      <c r="E10" s="11"/>
      <c r="F10" s="38"/>
    </row>
    <row r="11" spans="1:6" ht="15" customHeight="1" x14ac:dyDescent="0.25">
      <c r="A11" s="33" t="s">
        <v>25</v>
      </c>
      <c r="B11" s="34" t="s">
        <v>22</v>
      </c>
      <c r="C11" s="34" t="s">
        <v>56</v>
      </c>
      <c r="D11" s="34" t="s">
        <v>23</v>
      </c>
      <c r="E11" s="34" t="s">
        <v>24</v>
      </c>
    </row>
    <row r="12" spans="1:6" ht="15" customHeight="1" x14ac:dyDescent="0.25">
      <c r="A12" s="15" t="s">
        <v>72</v>
      </c>
      <c r="B12" s="19" t="s">
        <v>80</v>
      </c>
      <c r="C12" s="42">
        <v>1.5E-5</v>
      </c>
      <c r="D12" s="14" t="s">
        <v>78</v>
      </c>
      <c r="E12" s="16" t="s">
        <v>75</v>
      </c>
    </row>
    <row r="13" spans="1:6" ht="15" customHeight="1" x14ac:dyDescent="0.25">
      <c r="A13" s="15" t="s">
        <v>73</v>
      </c>
      <c r="B13" s="19" t="s">
        <v>28</v>
      </c>
      <c r="C13" s="51">
        <v>2920</v>
      </c>
      <c r="D13" s="14" t="s">
        <v>65</v>
      </c>
      <c r="E13" s="16" t="s">
        <v>74</v>
      </c>
      <c r="F13" s="38"/>
    </row>
    <row r="14" spans="1:6" ht="15" customHeight="1" x14ac:dyDescent="0.25">
      <c r="A14" s="15" t="s">
        <v>76</v>
      </c>
      <c r="B14" s="19" t="s">
        <v>81</v>
      </c>
      <c r="C14" s="51">
        <v>40</v>
      </c>
      <c r="D14" s="14" t="s">
        <v>79</v>
      </c>
      <c r="E14" s="16"/>
      <c r="F14" s="38"/>
    </row>
    <row r="15" spans="1:6" ht="15" customHeight="1" x14ac:dyDescent="0.25">
      <c r="A15" s="15" t="s">
        <v>77</v>
      </c>
      <c r="B15" s="19" t="s">
        <v>82</v>
      </c>
      <c r="C15" s="51">
        <v>0.05</v>
      </c>
      <c r="D15" s="14" t="s">
        <v>65</v>
      </c>
      <c r="E15" s="16"/>
      <c r="F15" s="38"/>
    </row>
    <row r="16" spans="1:6" ht="15" customHeight="1" x14ac:dyDescent="0.25">
      <c r="A16" s="25"/>
      <c r="B16" s="26"/>
      <c r="C16" s="27"/>
      <c r="D16" s="27"/>
      <c r="E16" s="28"/>
    </row>
    <row r="17" spans="1:6" ht="15" customHeight="1" x14ac:dyDescent="0.35">
      <c r="A17" s="69" t="s">
        <v>53</v>
      </c>
      <c r="B17" s="69"/>
      <c r="C17" s="69"/>
      <c r="D17" s="69"/>
      <c r="E17" s="69"/>
    </row>
    <row r="18" spans="1:6" ht="15" customHeight="1" x14ac:dyDescent="0.25">
      <c r="A18" s="33" t="s">
        <v>21</v>
      </c>
      <c r="B18" s="34" t="s">
        <v>22</v>
      </c>
      <c r="C18" s="34" t="s">
        <v>56</v>
      </c>
      <c r="D18" s="34" t="s">
        <v>23</v>
      </c>
      <c r="E18" s="34" t="s">
        <v>24</v>
      </c>
    </row>
    <row r="19" spans="1:6" ht="15" customHeight="1" x14ac:dyDescent="0.25">
      <c r="A19" s="1" t="s">
        <v>59</v>
      </c>
      <c r="B19" s="18" t="s">
        <v>94</v>
      </c>
      <c r="C19" s="48">
        <v>220000</v>
      </c>
      <c r="D19" s="10" t="s">
        <v>88</v>
      </c>
      <c r="E19" s="17"/>
      <c r="F19" s="38"/>
    </row>
    <row r="20" spans="1:6" ht="15" customHeight="1" x14ac:dyDescent="0.25">
      <c r="A20" s="1" t="s">
        <v>83</v>
      </c>
      <c r="B20" s="19" t="s">
        <v>95</v>
      </c>
      <c r="C20" s="49">
        <v>1800</v>
      </c>
      <c r="D20" s="10" t="s">
        <v>89</v>
      </c>
      <c r="E20" s="17"/>
      <c r="F20" s="38"/>
    </row>
    <row r="21" spans="1:6" ht="15" customHeight="1" x14ac:dyDescent="0.25">
      <c r="A21" s="1" t="s">
        <v>84</v>
      </c>
      <c r="B21" s="18" t="s">
        <v>96</v>
      </c>
      <c r="C21" s="39">
        <v>1.36E-5</v>
      </c>
      <c r="D21" s="10" t="s">
        <v>90</v>
      </c>
      <c r="E21" s="17"/>
      <c r="F21" s="38"/>
    </row>
    <row r="22" spans="1:6" ht="15" customHeight="1" x14ac:dyDescent="0.25">
      <c r="A22" s="1" t="s">
        <v>85</v>
      </c>
      <c r="B22" s="18" t="s">
        <v>97</v>
      </c>
      <c r="C22" s="39">
        <v>6.4000000000000001E-7</v>
      </c>
      <c r="D22" s="10" t="s">
        <v>91</v>
      </c>
      <c r="E22" s="17"/>
      <c r="F22" s="38"/>
    </row>
    <row r="23" spans="1:6" ht="15" customHeight="1" x14ac:dyDescent="0.25">
      <c r="A23" s="1" t="s">
        <v>87</v>
      </c>
      <c r="B23" s="18" t="s">
        <v>98</v>
      </c>
      <c r="C23" s="39">
        <v>2.3000000000000001E-10</v>
      </c>
      <c r="D23" s="10" t="s">
        <v>92</v>
      </c>
      <c r="E23" s="17"/>
      <c r="F23" s="38"/>
    </row>
    <row r="24" spans="1:6" ht="15" customHeight="1" x14ac:dyDescent="0.25">
      <c r="A24" s="5" t="s">
        <v>86</v>
      </c>
      <c r="B24" s="20" t="s">
        <v>99</v>
      </c>
      <c r="C24" s="47">
        <v>1E-3</v>
      </c>
      <c r="D24" s="3" t="s">
        <v>93</v>
      </c>
      <c r="E24" s="21"/>
      <c r="F24" s="38"/>
    </row>
    <row r="25" spans="1:6" ht="15" customHeight="1" x14ac:dyDescent="0.25">
      <c r="A25" s="33" t="s">
        <v>25</v>
      </c>
      <c r="B25" s="34" t="s">
        <v>22</v>
      </c>
      <c r="C25" s="34" t="s">
        <v>56</v>
      </c>
      <c r="D25" s="34" t="s">
        <v>23</v>
      </c>
      <c r="E25" s="34" t="s">
        <v>24</v>
      </c>
    </row>
    <row r="26" spans="1:6" ht="15" customHeight="1" x14ac:dyDescent="0.25">
      <c r="A26" s="15" t="s">
        <v>104</v>
      </c>
      <c r="B26" s="19" t="s">
        <v>100</v>
      </c>
      <c r="C26" s="51">
        <v>937.5</v>
      </c>
      <c r="D26" s="14" t="s">
        <v>102</v>
      </c>
      <c r="E26" s="16" t="s">
        <v>103</v>
      </c>
      <c r="F26" s="38"/>
    </row>
    <row r="27" spans="1:6" ht="15" customHeight="1" x14ac:dyDescent="0.25">
      <c r="A27" s="25"/>
      <c r="B27" s="26"/>
      <c r="C27" s="27"/>
      <c r="D27" s="27"/>
      <c r="E27" s="28"/>
    </row>
    <row r="28" spans="1:6" ht="15" customHeight="1" x14ac:dyDescent="0.35">
      <c r="A28" s="69" t="s">
        <v>54</v>
      </c>
      <c r="B28" s="69"/>
      <c r="C28" s="69"/>
      <c r="D28" s="69"/>
      <c r="E28" s="69"/>
    </row>
    <row r="29" spans="1:6" ht="15" customHeight="1" x14ac:dyDescent="0.25">
      <c r="A29" s="33" t="s">
        <v>21</v>
      </c>
      <c r="B29" s="34" t="s">
        <v>22</v>
      </c>
      <c r="C29" s="34" t="s">
        <v>56</v>
      </c>
      <c r="D29" s="34" t="s">
        <v>23</v>
      </c>
      <c r="E29" s="34" t="s">
        <v>24</v>
      </c>
    </row>
    <row r="30" spans="1:6" ht="15" customHeight="1" x14ac:dyDescent="0.25">
      <c r="A30" s="1" t="s">
        <v>110</v>
      </c>
      <c r="B30" s="19" t="s">
        <v>107</v>
      </c>
      <c r="C30" s="43">
        <v>800000000</v>
      </c>
      <c r="D30" s="3" t="s">
        <v>109</v>
      </c>
      <c r="E30" s="17"/>
      <c r="F30" s="38"/>
    </row>
    <row r="31" spans="1:6" ht="15" customHeight="1" x14ac:dyDescent="0.25">
      <c r="A31" s="1" t="s">
        <v>111</v>
      </c>
      <c r="B31" s="19" t="s">
        <v>108</v>
      </c>
      <c r="C31" s="43">
        <v>0.996</v>
      </c>
      <c r="D31" s="3" t="s">
        <v>65</v>
      </c>
      <c r="E31" s="17"/>
      <c r="F31" s="38"/>
    </row>
    <row r="32" spans="1:6" ht="15" customHeight="1" x14ac:dyDescent="0.25">
      <c r="A32" s="33" t="s">
        <v>25</v>
      </c>
      <c r="B32" s="34" t="s">
        <v>22</v>
      </c>
      <c r="C32" s="34" t="s">
        <v>56</v>
      </c>
      <c r="D32" s="34" t="s">
        <v>23</v>
      </c>
      <c r="E32" s="34" t="s">
        <v>24</v>
      </c>
    </row>
    <row r="33" spans="1:6" ht="15" customHeight="1" x14ac:dyDescent="0.25">
      <c r="A33" s="15" t="s">
        <v>113</v>
      </c>
      <c r="B33" s="19" t="s">
        <v>112</v>
      </c>
      <c r="C33" s="42">
        <v>4733000</v>
      </c>
      <c r="D33" s="14" t="s">
        <v>114</v>
      </c>
      <c r="E33" s="16"/>
      <c r="F33" s="38"/>
    </row>
    <row r="34" spans="1:6" ht="15" customHeight="1" x14ac:dyDescent="0.25">
      <c r="A34" s="29"/>
      <c r="B34" s="30"/>
      <c r="C34" s="31"/>
      <c r="D34" s="31"/>
      <c r="E34" s="32"/>
    </row>
    <row r="35" spans="1:6" ht="15" customHeight="1" x14ac:dyDescent="0.35">
      <c r="A35" s="69" t="s">
        <v>176</v>
      </c>
      <c r="B35" s="69"/>
      <c r="C35" s="69"/>
      <c r="D35" s="69"/>
      <c r="E35" s="69"/>
    </row>
    <row r="36" spans="1:6" ht="15" customHeight="1" x14ac:dyDescent="0.25">
      <c r="A36" s="33" t="s">
        <v>21</v>
      </c>
      <c r="B36" s="34" t="s">
        <v>22</v>
      </c>
      <c r="C36" s="34" t="s">
        <v>56</v>
      </c>
      <c r="D36" s="34" t="s">
        <v>23</v>
      </c>
      <c r="E36" s="34" t="s">
        <v>24</v>
      </c>
    </row>
    <row r="37" spans="1:6" ht="15" customHeight="1" x14ac:dyDescent="0.25">
      <c r="A37" s="15"/>
      <c r="B37" s="19"/>
      <c r="C37" s="51"/>
      <c r="D37" s="14"/>
      <c r="E37" s="16"/>
      <c r="F37" s="38"/>
    </row>
    <row r="38" spans="1:6" ht="15" customHeight="1" x14ac:dyDescent="0.25">
      <c r="A38" s="33" t="s">
        <v>25</v>
      </c>
      <c r="B38" s="34" t="s">
        <v>22</v>
      </c>
      <c r="C38" s="34" t="s">
        <v>56</v>
      </c>
      <c r="D38" s="34" t="s">
        <v>23</v>
      </c>
      <c r="E38" s="34" t="s">
        <v>24</v>
      </c>
    </row>
    <row r="39" spans="1:6" ht="15" customHeight="1" x14ac:dyDescent="0.25">
      <c r="A39" s="15" t="s">
        <v>105</v>
      </c>
      <c r="B39" s="19" t="s">
        <v>101</v>
      </c>
      <c r="C39" s="72">
        <v>36</v>
      </c>
      <c r="D39" s="14" t="s">
        <v>106</v>
      </c>
      <c r="E39" s="16" t="s">
        <v>185</v>
      </c>
      <c r="F39" s="38"/>
    </row>
  </sheetData>
  <mergeCells count="4">
    <mergeCell ref="A4:E4"/>
    <mergeCell ref="A17:E17"/>
    <mergeCell ref="A28:E28"/>
    <mergeCell ref="A35:E3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4D99-F07E-477A-94F1-5F94FE7BA926}">
  <dimension ref="A1:Q48"/>
  <sheetViews>
    <sheetView tabSelected="1" topLeftCell="A7" workbookViewId="0">
      <selection activeCell="C38" sqref="C38"/>
    </sheetView>
  </sheetViews>
  <sheetFormatPr baseColWidth="10" defaultColWidth="8.85546875" defaultRowHeight="15" customHeight="1" x14ac:dyDescent="0.25"/>
  <cols>
    <col min="1" max="1" width="38.85546875" customWidth="1"/>
    <col min="2" max="2" width="15.7109375" customWidth="1"/>
    <col min="3" max="3" width="25.85546875" customWidth="1"/>
    <col min="4" max="4" width="11.140625" customWidth="1"/>
    <col min="5" max="5" width="50.85546875" customWidth="1"/>
    <col min="7" max="7" width="12.7109375" customWidth="1"/>
    <col min="8" max="8" width="17.140625" customWidth="1"/>
    <col min="9" max="9" width="14.85546875" bestFit="1" customWidth="1"/>
    <col min="10" max="10" width="17.140625" customWidth="1"/>
    <col min="11" max="12" width="20" customWidth="1"/>
    <col min="13" max="13" width="13.28515625" customWidth="1"/>
    <col min="14" max="14" width="14.85546875" customWidth="1"/>
  </cols>
  <sheetData>
    <row r="1" spans="1:17" ht="15" customHeight="1" x14ac:dyDescent="0.25">
      <c r="A1" s="2" t="s">
        <v>184</v>
      </c>
      <c r="B1" s="2"/>
      <c r="C1" s="2"/>
    </row>
    <row r="2" spans="1:17" ht="15" customHeight="1" x14ac:dyDescent="0.25">
      <c r="A2" s="2" t="s">
        <v>30</v>
      </c>
      <c r="B2" s="2"/>
      <c r="C2" s="2"/>
    </row>
    <row r="3" spans="1:17" ht="15" customHeight="1" x14ac:dyDescent="0.25">
      <c r="A3" s="70"/>
      <c r="B3" s="70"/>
      <c r="C3" s="70"/>
      <c r="D3" s="70"/>
    </row>
    <row r="4" spans="1:17" ht="15" customHeight="1" x14ac:dyDescent="0.35">
      <c r="A4" s="69" t="s">
        <v>53</v>
      </c>
      <c r="B4" s="69"/>
      <c r="C4" s="69"/>
      <c r="D4" s="69"/>
      <c r="E4" s="69"/>
      <c r="G4" s="37"/>
      <c r="H4" s="12" t="s">
        <v>171</v>
      </c>
      <c r="I4" s="12" t="s">
        <v>170</v>
      </c>
      <c r="J4" s="12"/>
      <c r="K4" s="12"/>
      <c r="Q4" s="9"/>
    </row>
    <row r="5" spans="1:17" ht="15" customHeight="1" x14ac:dyDescent="0.25">
      <c r="A5" s="33" t="s">
        <v>32</v>
      </c>
      <c r="B5" s="34" t="s">
        <v>22</v>
      </c>
      <c r="C5" s="34" t="s">
        <v>56</v>
      </c>
      <c r="D5" s="34" t="s">
        <v>23</v>
      </c>
      <c r="E5" s="34" t="s">
        <v>24</v>
      </c>
      <c r="G5" s="12" t="s">
        <v>33</v>
      </c>
      <c r="H5" s="37" t="s">
        <v>56</v>
      </c>
      <c r="I5" s="37" t="s">
        <v>56</v>
      </c>
      <c r="J5" s="7" t="s">
        <v>23</v>
      </c>
      <c r="K5" s="37" t="s">
        <v>24</v>
      </c>
      <c r="Q5" s="9"/>
    </row>
    <row r="6" spans="1:17" ht="15" customHeight="1" x14ac:dyDescent="0.25">
      <c r="A6" s="1" t="s">
        <v>115</v>
      </c>
      <c r="B6" s="18" t="s">
        <v>118</v>
      </c>
      <c r="C6" s="52">
        <f>'2 - Inventory analysis'!C7/(SQRT(3)*'2 - Inventory analysis'!C8*'2 - Inventory analysis'!C9)</f>
        <v>2279.0142204853655</v>
      </c>
      <c r="D6" s="10" t="s">
        <v>117</v>
      </c>
      <c r="E6" s="17" t="s">
        <v>116</v>
      </c>
      <c r="F6" s="38"/>
      <c r="G6" s="13">
        <v>1</v>
      </c>
      <c r="H6" s="59">
        <f>$C$35+$C$36</f>
        <v>202196610.84363365</v>
      </c>
      <c r="I6" s="59">
        <f>H6/((1+'2 - Inventory analysis'!$C$15)^G6)</f>
        <v>192568200.8034606</v>
      </c>
      <c r="J6" s="3" t="s">
        <v>27</v>
      </c>
      <c r="K6" s="58" t="s">
        <v>172</v>
      </c>
      <c r="Q6" s="9"/>
    </row>
    <row r="7" spans="1:17" ht="15" customHeight="1" x14ac:dyDescent="0.25">
      <c r="A7" s="1" t="s">
        <v>127</v>
      </c>
      <c r="B7" s="19" t="s">
        <v>119</v>
      </c>
      <c r="C7" s="10">
        <f>ROUNDUP(C6/'2 - Inventory analysis'!C20,0)</f>
        <v>2</v>
      </c>
      <c r="D7" s="10" t="s">
        <v>93</v>
      </c>
      <c r="E7" s="17" t="s">
        <v>120</v>
      </c>
      <c r="F7" s="38"/>
      <c r="G7" s="13">
        <v>2</v>
      </c>
      <c r="H7" s="54">
        <f>$C$36</f>
        <v>960610.84363364324</v>
      </c>
      <c r="I7" s="59">
        <f>H7/((1+'2 - Inventory analysis'!$C$15)^G7)</f>
        <v>871302.35250217072</v>
      </c>
      <c r="J7" s="3" t="s">
        <v>27</v>
      </c>
      <c r="K7" s="58" t="s">
        <v>173</v>
      </c>
      <c r="Q7" s="9"/>
    </row>
    <row r="8" spans="1:17" ht="15" customHeight="1" x14ac:dyDescent="0.25">
      <c r="A8" s="1" t="s">
        <v>128</v>
      </c>
      <c r="B8" s="18" t="s">
        <v>132</v>
      </c>
      <c r="C8" s="36">
        <f>3*C7</f>
        <v>6</v>
      </c>
      <c r="D8" s="10" t="s">
        <v>93</v>
      </c>
      <c r="E8" s="17" t="s">
        <v>121</v>
      </c>
      <c r="F8" s="38"/>
      <c r="G8" s="13">
        <v>3</v>
      </c>
      <c r="H8" s="54">
        <f t="shared" ref="H8:H45" si="0">$C$36</f>
        <v>960610.84363364324</v>
      </c>
      <c r="I8" s="59">
        <f>H8/((1+'2 - Inventory analysis'!$C$15)^G8)</f>
        <v>829811.76428778155</v>
      </c>
      <c r="J8" s="3" t="s">
        <v>27</v>
      </c>
      <c r="K8" s="58" t="s">
        <v>173</v>
      </c>
      <c r="Q8" s="9"/>
    </row>
    <row r="9" spans="1:17" ht="15" customHeight="1" x14ac:dyDescent="0.25">
      <c r="A9" s="1" t="s">
        <v>129</v>
      </c>
      <c r="B9" s="18" t="s">
        <v>133</v>
      </c>
      <c r="C9" s="39">
        <f>C8*'2 - Inventory analysis'!C21*'2 - Inventory analysis'!C6*'2 - Inventory analysis'!C20^2</f>
        <v>8460288</v>
      </c>
      <c r="D9" s="10" t="s">
        <v>125</v>
      </c>
      <c r="E9" s="17" t="s">
        <v>122</v>
      </c>
      <c r="F9" s="38"/>
      <c r="G9" s="13">
        <v>4</v>
      </c>
      <c r="H9" s="54">
        <f t="shared" si="0"/>
        <v>960610.84363364324</v>
      </c>
      <c r="I9" s="59">
        <f>H9/((1+'2 - Inventory analysis'!$C$15)^G9)</f>
        <v>790296.9183693158</v>
      </c>
      <c r="J9" s="3" t="s">
        <v>27</v>
      </c>
      <c r="K9" s="58" t="s">
        <v>173</v>
      </c>
      <c r="Q9" s="9"/>
    </row>
    <row r="10" spans="1:17" ht="15" customHeight="1" x14ac:dyDescent="0.25">
      <c r="A10" s="1" t="s">
        <v>130</v>
      </c>
      <c r="B10" s="18" t="s">
        <v>134</v>
      </c>
      <c r="C10" s="39">
        <f>C8*2*PI()*'2 - Inventory analysis'!C10*'2 - Inventory analysis'!C23*'2 - Inventory analysis'!C6*'2 - Inventory analysis'!C19^2*'2 - Inventory analysis'!C24</f>
        <v>671466.4208594223</v>
      </c>
      <c r="D10" s="10" t="s">
        <v>125</v>
      </c>
      <c r="E10" s="17" t="s">
        <v>123</v>
      </c>
      <c r="F10" s="38"/>
      <c r="G10" s="13">
        <v>5</v>
      </c>
      <c r="H10" s="54">
        <f t="shared" si="0"/>
        <v>960610.84363364324</v>
      </c>
      <c r="I10" s="59">
        <f>H10/((1+'2 - Inventory analysis'!$C$15)^G10)</f>
        <v>752663.73178030073</v>
      </c>
      <c r="J10" s="3" t="s">
        <v>27</v>
      </c>
      <c r="K10" s="58" t="s">
        <v>173</v>
      </c>
      <c r="Q10" s="9"/>
    </row>
    <row r="11" spans="1:17" ht="15" customHeight="1" x14ac:dyDescent="0.25">
      <c r="A11" s="5" t="s">
        <v>131</v>
      </c>
      <c r="B11" s="20" t="s">
        <v>155</v>
      </c>
      <c r="C11" s="39">
        <f>(C9+C10)*'2 - Inventory analysis'!C13</f>
        <v>26664722908.909515</v>
      </c>
      <c r="D11" s="3" t="s">
        <v>126</v>
      </c>
      <c r="E11" s="21" t="s">
        <v>124</v>
      </c>
      <c r="F11" s="38"/>
      <c r="G11" s="13">
        <v>6</v>
      </c>
      <c r="H11" s="54">
        <f t="shared" si="0"/>
        <v>960610.84363364324</v>
      </c>
      <c r="I11" s="59">
        <f>H11/((1+'2 - Inventory analysis'!$C$15)^G11)</f>
        <v>716822.60169552465</v>
      </c>
      <c r="J11" s="3" t="s">
        <v>27</v>
      </c>
      <c r="K11" s="58" t="s">
        <v>173</v>
      </c>
      <c r="Q11" s="9"/>
    </row>
    <row r="12" spans="1:17" ht="15" customHeight="1" x14ac:dyDescent="0.25">
      <c r="A12" s="33" t="s">
        <v>34</v>
      </c>
      <c r="B12" s="34" t="s">
        <v>22</v>
      </c>
      <c r="C12" s="34" t="s">
        <v>56</v>
      </c>
      <c r="D12" s="34" t="s">
        <v>23</v>
      </c>
      <c r="E12" s="34" t="s">
        <v>24</v>
      </c>
      <c r="G12" s="13">
        <v>7</v>
      </c>
      <c r="H12" s="54">
        <f t="shared" si="0"/>
        <v>960610.84363364324</v>
      </c>
      <c r="I12" s="59">
        <f>H12/((1+'2 - Inventory analysis'!$C$15)^G12)</f>
        <v>682688.1920909757</v>
      </c>
      <c r="J12" s="3" t="s">
        <v>27</v>
      </c>
      <c r="K12" s="58" t="s">
        <v>173</v>
      </c>
      <c r="Q12" s="9"/>
    </row>
    <row r="13" spans="1:17" ht="15" customHeight="1" x14ac:dyDescent="0.25">
      <c r="A13" s="15" t="s">
        <v>136</v>
      </c>
      <c r="B13" s="19" t="s">
        <v>139</v>
      </c>
      <c r="C13" s="55">
        <f>C8*'2 - Inventory analysis'!C26*'2 - Inventory analysis'!C6</f>
        <v>180000000</v>
      </c>
      <c r="D13" s="14" t="s">
        <v>114</v>
      </c>
      <c r="E13" s="16" t="s">
        <v>179</v>
      </c>
      <c r="F13" s="38"/>
      <c r="G13" s="13">
        <v>8</v>
      </c>
      <c r="H13" s="54">
        <f t="shared" si="0"/>
        <v>960610.84363364324</v>
      </c>
      <c r="I13" s="59">
        <f>H13/((1+'2 - Inventory analysis'!$C$15)^G13)</f>
        <v>650179.23056283407</v>
      </c>
      <c r="J13" s="3" t="s">
        <v>27</v>
      </c>
      <c r="K13" s="58" t="s">
        <v>173</v>
      </c>
      <c r="Q13" s="9"/>
    </row>
    <row r="14" spans="1:17" ht="15" customHeight="1" x14ac:dyDescent="0.25">
      <c r="A14" s="15" t="s">
        <v>137</v>
      </c>
      <c r="B14" s="19" t="s">
        <v>140</v>
      </c>
      <c r="C14" s="55">
        <f>'2 - Inventory analysis'!C12*C11</f>
        <v>399970.84363364277</v>
      </c>
      <c r="D14" s="14" t="s">
        <v>138</v>
      </c>
      <c r="E14" s="16" t="s">
        <v>135</v>
      </c>
      <c r="F14" s="38"/>
      <c r="G14" s="13">
        <v>9</v>
      </c>
      <c r="H14" s="54">
        <f t="shared" si="0"/>
        <v>960610.84363364324</v>
      </c>
      <c r="I14" s="59">
        <f>H14/((1+'2 - Inventory analysis'!$C$15)^G14)</f>
        <v>619218.31482174667</v>
      </c>
      <c r="J14" s="3" t="s">
        <v>27</v>
      </c>
      <c r="K14" s="58" t="s">
        <v>173</v>
      </c>
      <c r="Q14" s="9"/>
    </row>
    <row r="15" spans="1:17" ht="15" customHeight="1" x14ac:dyDescent="0.25">
      <c r="A15" s="25"/>
      <c r="B15" s="26"/>
      <c r="C15" s="27"/>
      <c r="D15" s="27"/>
      <c r="E15" s="28"/>
      <c r="G15" s="13">
        <v>10</v>
      </c>
      <c r="H15" s="54">
        <f t="shared" si="0"/>
        <v>960610.84363364324</v>
      </c>
      <c r="I15" s="59">
        <f>H15/((1+'2 - Inventory analysis'!$C$15)^G15)</f>
        <v>589731.72840166348</v>
      </c>
      <c r="J15" s="3" t="s">
        <v>27</v>
      </c>
      <c r="K15" s="58" t="s">
        <v>173</v>
      </c>
      <c r="Q15" s="9"/>
    </row>
    <row r="16" spans="1:17" ht="15" customHeight="1" x14ac:dyDescent="0.35">
      <c r="A16" s="69" t="s">
        <v>54</v>
      </c>
      <c r="B16" s="69"/>
      <c r="C16" s="69"/>
      <c r="D16" s="69"/>
      <c r="E16" s="69"/>
      <c r="G16" s="13">
        <v>11</v>
      </c>
      <c r="H16" s="54">
        <f t="shared" si="0"/>
        <v>960610.84363364324</v>
      </c>
      <c r="I16" s="59">
        <f>H16/((1+'2 - Inventory analysis'!$C$15)^G16)</f>
        <v>561649.26514444139</v>
      </c>
      <c r="J16" s="3" t="s">
        <v>27</v>
      </c>
      <c r="K16" s="58" t="s">
        <v>173</v>
      </c>
      <c r="Q16" s="9"/>
    </row>
    <row r="17" spans="1:17" ht="15" customHeight="1" x14ac:dyDescent="0.25">
      <c r="A17" s="33" t="s">
        <v>32</v>
      </c>
      <c r="B17" s="34" t="s">
        <v>22</v>
      </c>
      <c r="C17" s="34" t="s">
        <v>56</v>
      </c>
      <c r="D17" s="34" t="s">
        <v>23</v>
      </c>
      <c r="E17" s="34" t="s">
        <v>24</v>
      </c>
      <c r="G17" s="13">
        <v>12</v>
      </c>
      <c r="H17" s="54">
        <f t="shared" si="0"/>
        <v>960610.84363364324</v>
      </c>
      <c r="I17" s="59">
        <f>H17/((1+'2 - Inventory analysis'!$C$15)^G17)</f>
        <v>534904.06204232527</v>
      </c>
      <c r="J17" s="3" t="s">
        <v>27</v>
      </c>
      <c r="K17" s="58" t="s">
        <v>173</v>
      </c>
      <c r="Q17" s="9"/>
    </row>
    <row r="18" spans="1:17" ht="15" customHeight="1" x14ac:dyDescent="0.25">
      <c r="A18" s="1" t="s">
        <v>143</v>
      </c>
      <c r="B18" s="19" t="s">
        <v>147</v>
      </c>
      <c r="C18" s="53">
        <f>2*ROUNDUP('2 - Inventory analysis'!C7/'2 - Inventory analysis'!C9/'2 - Inventory analysis'!C30,0)</f>
        <v>4</v>
      </c>
      <c r="D18" s="3" t="s">
        <v>93</v>
      </c>
      <c r="E18" s="17" t="s">
        <v>146</v>
      </c>
      <c r="F18" s="38"/>
      <c r="G18" s="13">
        <v>13</v>
      </c>
      <c r="H18" s="54">
        <f t="shared" si="0"/>
        <v>960610.84363364324</v>
      </c>
      <c r="I18" s="59">
        <f>H18/((1+'2 - Inventory analysis'!$C$15)^G18)</f>
        <v>509432.44004030962</v>
      </c>
      <c r="J18" s="3" t="s">
        <v>27</v>
      </c>
      <c r="K18" s="58" t="s">
        <v>173</v>
      </c>
      <c r="Q18" s="9"/>
    </row>
    <row r="19" spans="1:17" ht="15" customHeight="1" x14ac:dyDescent="0.25">
      <c r="A19" s="1" t="s">
        <v>144</v>
      </c>
      <c r="B19" s="19" t="s">
        <v>148</v>
      </c>
      <c r="C19" s="43">
        <f>C18*(1-'2 - Inventory analysis'!C31)*'2 - Inventory analysis'!C30</f>
        <v>12800000.000000011</v>
      </c>
      <c r="D19" s="3" t="s">
        <v>63</v>
      </c>
      <c r="E19" s="17" t="s">
        <v>175</v>
      </c>
      <c r="F19" s="38"/>
      <c r="G19" s="13">
        <v>14</v>
      </c>
      <c r="H19" s="54">
        <f t="shared" si="0"/>
        <v>960610.84363364324</v>
      </c>
      <c r="I19" s="59">
        <f>H19/((1+'2 - Inventory analysis'!$C$15)^G19)</f>
        <v>485173.75241934264</v>
      </c>
      <c r="J19" s="3" t="s">
        <v>27</v>
      </c>
      <c r="K19" s="58" t="s">
        <v>173</v>
      </c>
      <c r="Q19" s="9"/>
    </row>
    <row r="20" spans="1:17" ht="15" customHeight="1" x14ac:dyDescent="0.25">
      <c r="A20" s="1" t="s">
        <v>131</v>
      </c>
      <c r="B20" s="19" t="s">
        <v>149</v>
      </c>
      <c r="C20" s="43">
        <f xml:space="preserve"> C19*'2 - Inventory analysis'!C13</f>
        <v>37376000000.000031</v>
      </c>
      <c r="D20" s="3" t="s">
        <v>145</v>
      </c>
      <c r="E20" s="17" t="s">
        <v>142</v>
      </c>
      <c r="F20" s="38"/>
      <c r="G20" s="13">
        <v>15</v>
      </c>
      <c r="H20" s="54">
        <f t="shared" si="0"/>
        <v>960610.84363364324</v>
      </c>
      <c r="I20" s="59">
        <f>H20/((1+'2 - Inventory analysis'!$C$15)^G20)</f>
        <v>462070.24039937381</v>
      </c>
      <c r="J20" s="3" t="s">
        <v>27</v>
      </c>
      <c r="K20" s="58" t="s">
        <v>173</v>
      </c>
      <c r="Q20" s="9"/>
    </row>
    <row r="21" spans="1:17" ht="15" customHeight="1" x14ac:dyDescent="0.25">
      <c r="A21" s="33" t="s">
        <v>34</v>
      </c>
      <c r="B21" s="34" t="s">
        <v>22</v>
      </c>
      <c r="C21" s="34" t="s">
        <v>56</v>
      </c>
      <c r="D21" s="34" t="s">
        <v>23</v>
      </c>
      <c r="E21" s="34" t="s">
        <v>24</v>
      </c>
      <c r="G21" s="13">
        <v>16</v>
      </c>
      <c r="H21" s="54">
        <f t="shared" si="0"/>
        <v>960610.84363364324</v>
      </c>
      <c r="I21" s="59">
        <f>H21/((1+'2 - Inventory analysis'!$C$15)^G21)</f>
        <v>440066.89561845129</v>
      </c>
      <c r="J21" s="3" t="s">
        <v>27</v>
      </c>
      <c r="K21" s="58" t="s">
        <v>173</v>
      </c>
      <c r="Q21" s="9"/>
    </row>
    <row r="22" spans="1:17" ht="15" customHeight="1" x14ac:dyDescent="0.25">
      <c r="A22" s="15" t="s">
        <v>152</v>
      </c>
      <c r="B22" s="23" t="s">
        <v>153</v>
      </c>
      <c r="C22" s="55">
        <f xml:space="preserve"> C18*'2 - Inventory analysis'!C33</f>
        <v>18932000</v>
      </c>
      <c r="D22" s="14" t="s">
        <v>114</v>
      </c>
      <c r="E22" s="16" t="s">
        <v>150</v>
      </c>
      <c r="F22" s="38"/>
      <c r="G22" s="13">
        <v>17</v>
      </c>
      <c r="H22" s="54">
        <f t="shared" si="0"/>
        <v>960610.84363364324</v>
      </c>
      <c r="I22" s="59">
        <f>H22/((1+'2 - Inventory analysis'!$C$15)^G22)</f>
        <v>419111.32916042971</v>
      </c>
      <c r="J22" s="3" t="s">
        <v>27</v>
      </c>
      <c r="K22" s="58" t="s">
        <v>173</v>
      </c>
      <c r="Q22" s="9"/>
    </row>
    <row r="23" spans="1:17" ht="15" customHeight="1" x14ac:dyDescent="0.25">
      <c r="A23" s="1" t="s">
        <v>137</v>
      </c>
      <c r="B23" s="23" t="s">
        <v>154</v>
      </c>
      <c r="C23" s="56">
        <f xml:space="preserve"> '2 - Inventory analysis'!C12*'3 - Calculation of indicators'!C20</f>
        <v>560640.00000000047</v>
      </c>
      <c r="D23" s="3" t="s">
        <v>138</v>
      </c>
      <c r="E23" s="16" t="s">
        <v>151</v>
      </c>
      <c r="F23" s="38"/>
      <c r="G23" s="13">
        <v>18</v>
      </c>
      <c r="H23" s="54">
        <f t="shared" si="0"/>
        <v>960610.84363364324</v>
      </c>
      <c r="I23" s="59">
        <f>H23/((1+'2 - Inventory analysis'!$C$15)^G23)</f>
        <v>399153.64681945689</v>
      </c>
      <c r="J23" s="3" t="s">
        <v>27</v>
      </c>
      <c r="K23" s="58" t="s">
        <v>173</v>
      </c>
    </row>
    <row r="24" spans="1:17" ht="15" customHeight="1" x14ac:dyDescent="0.25">
      <c r="A24" s="2"/>
      <c r="B24" s="44"/>
      <c r="C24" s="45"/>
      <c r="D24" s="46"/>
      <c r="E24" s="28"/>
      <c r="G24" s="13">
        <v>19</v>
      </c>
      <c r="H24" s="54">
        <f t="shared" si="0"/>
        <v>960610.84363364324</v>
      </c>
      <c r="I24" s="59">
        <f>H24/((1+'2 - Inventory analysis'!$C$15)^G24)</f>
        <v>380146.33030424465</v>
      </c>
      <c r="J24" s="3" t="s">
        <v>27</v>
      </c>
      <c r="K24" s="58" t="s">
        <v>173</v>
      </c>
    </row>
    <row r="25" spans="1:17" ht="15" customHeight="1" x14ac:dyDescent="0.35">
      <c r="A25" s="69" t="s">
        <v>176</v>
      </c>
      <c r="B25" s="69"/>
      <c r="C25" s="69"/>
      <c r="D25" s="69"/>
      <c r="E25" s="69"/>
      <c r="G25" s="13">
        <v>20</v>
      </c>
      <c r="H25" s="54">
        <f t="shared" si="0"/>
        <v>960610.84363364324</v>
      </c>
      <c r="I25" s="59">
        <f>H25/((1+'2 - Inventory analysis'!$C$15)^G25)</f>
        <v>362044.12409928063</v>
      </c>
      <c r="J25" s="3" t="s">
        <v>27</v>
      </c>
      <c r="K25" s="58" t="s">
        <v>173</v>
      </c>
      <c r="Q25" s="9"/>
    </row>
    <row r="26" spans="1:17" ht="15" customHeight="1" x14ac:dyDescent="0.25">
      <c r="A26" s="33" t="s">
        <v>32</v>
      </c>
      <c r="B26" s="34" t="s">
        <v>22</v>
      </c>
      <c r="C26" s="34" t="s">
        <v>56</v>
      </c>
      <c r="D26" s="34" t="s">
        <v>23</v>
      </c>
      <c r="E26" s="34" t="s">
        <v>24</v>
      </c>
      <c r="G26" s="13">
        <v>21</v>
      </c>
      <c r="H26" s="54">
        <f t="shared" si="0"/>
        <v>960610.84363364324</v>
      </c>
      <c r="I26" s="59">
        <f>H26/((1+'2 - Inventory analysis'!$C$15)^G26)</f>
        <v>344803.92771360063</v>
      </c>
      <c r="J26" s="3" t="s">
        <v>27</v>
      </c>
      <c r="K26" s="58" t="s">
        <v>173</v>
      </c>
      <c r="Q26" s="9"/>
    </row>
    <row r="27" spans="1:17" ht="15" customHeight="1" x14ac:dyDescent="0.25">
      <c r="A27" s="1"/>
      <c r="B27" s="19" t="s">
        <v>26</v>
      </c>
      <c r="C27" s="43"/>
      <c r="D27" s="3"/>
      <c r="E27" s="17"/>
      <c r="F27" s="38"/>
      <c r="G27" s="13">
        <v>22</v>
      </c>
      <c r="H27" s="54">
        <f t="shared" si="0"/>
        <v>960610.84363364324</v>
      </c>
      <c r="I27" s="59">
        <f>H27/((1+'2 - Inventory analysis'!$C$15)^G27)</f>
        <v>328384.69306057203</v>
      </c>
      <c r="J27" s="3" t="s">
        <v>27</v>
      </c>
      <c r="K27" s="58" t="s">
        <v>173</v>
      </c>
      <c r="Q27" s="9"/>
    </row>
    <row r="28" spans="1:17" ht="15" customHeight="1" x14ac:dyDescent="0.25">
      <c r="A28" s="33" t="s">
        <v>34</v>
      </c>
      <c r="B28" s="34" t="s">
        <v>22</v>
      </c>
      <c r="C28" s="34" t="s">
        <v>56</v>
      </c>
      <c r="D28" s="34" t="s">
        <v>23</v>
      </c>
      <c r="E28" s="34" t="s">
        <v>24</v>
      </c>
      <c r="G28" s="13">
        <v>23</v>
      </c>
      <c r="H28" s="54">
        <f t="shared" si="0"/>
        <v>960610.84363364324</v>
      </c>
      <c r="I28" s="59">
        <f>H28/((1+'2 - Inventory analysis'!$C$15)^G28)</f>
        <v>312747.32672435424</v>
      </c>
      <c r="J28" s="3" t="s">
        <v>27</v>
      </c>
      <c r="K28" s="58" t="s">
        <v>173</v>
      </c>
      <c r="Q28" s="9"/>
    </row>
    <row r="29" spans="1:17" ht="15" customHeight="1" x14ac:dyDescent="0.25">
      <c r="A29" s="15" t="s">
        <v>136</v>
      </c>
      <c r="B29" s="23" t="s">
        <v>177</v>
      </c>
      <c r="C29" s="56">
        <f>C7*'2 - Inventory analysis'!C39*'2 - Inventory analysis'!C6</f>
        <v>2304000</v>
      </c>
      <c r="D29" s="3" t="s">
        <v>141</v>
      </c>
      <c r="E29" s="16" t="s">
        <v>178</v>
      </c>
      <c r="G29" s="13">
        <v>24</v>
      </c>
      <c r="H29" s="54">
        <f t="shared" si="0"/>
        <v>960610.84363364324</v>
      </c>
      <c r="I29" s="59">
        <f>H29/((1+'2 - Inventory analysis'!$C$15)^G29)</f>
        <v>297854.5968803374</v>
      </c>
      <c r="J29" s="3" t="s">
        <v>27</v>
      </c>
      <c r="K29" s="58" t="s">
        <v>173</v>
      </c>
    </row>
    <row r="30" spans="1:17" ht="15" customHeight="1" x14ac:dyDescent="0.25">
      <c r="A30" s="2"/>
      <c r="B30" s="44"/>
      <c r="C30" s="45"/>
      <c r="D30" s="46"/>
      <c r="E30" s="28"/>
      <c r="G30" s="13">
        <v>25</v>
      </c>
      <c r="H30" s="54">
        <f t="shared" si="0"/>
        <v>960610.84363364324</v>
      </c>
      <c r="I30" s="59">
        <f>H30/((1+'2 - Inventory analysis'!$C$15)^G30)</f>
        <v>283671.04464794038</v>
      </c>
      <c r="J30" s="3" t="s">
        <v>27</v>
      </c>
      <c r="K30" s="58" t="s">
        <v>173</v>
      </c>
    </row>
    <row r="31" spans="1:17" ht="15" customHeight="1" x14ac:dyDescent="0.35">
      <c r="A31" s="69" t="s">
        <v>55</v>
      </c>
      <c r="B31" s="69"/>
      <c r="C31" s="69"/>
      <c r="D31" s="69"/>
      <c r="E31" s="69"/>
      <c r="G31" s="13">
        <v>26</v>
      </c>
      <c r="H31" s="54">
        <f t="shared" si="0"/>
        <v>960610.84363364324</v>
      </c>
      <c r="I31" s="59">
        <f>H31/((1+'2 - Inventory analysis'!$C$15)^G31)</f>
        <v>270162.89966470515</v>
      </c>
      <c r="J31" s="3" t="s">
        <v>27</v>
      </c>
      <c r="K31" s="58" t="s">
        <v>173</v>
      </c>
      <c r="Q31" s="9"/>
    </row>
    <row r="32" spans="1:17" ht="15" customHeight="1" x14ac:dyDescent="0.25">
      <c r="A32" s="33" t="s">
        <v>32</v>
      </c>
      <c r="B32" s="34" t="s">
        <v>22</v>
      </c>
      <c r="C32" s="34" t="s">
        <v>56</v>
      </c>
      <c r="D32" s="34" t="s">
        <v>23</v>
      </c>
      <c r="E32" s="34" t="s">
        <v>24</v>
      </c>
      <c r="G32" s="13">
        <v>27</v>
      </c>
      <c r="H32" s="54">
        <f t="shared" si="0"/>
        <v>960610.84363364324</v>
      </c>
      <c r="I32" s="59">
        <f>H32/((1+'2 - Inventory analysis'!$C$15)^G32)</f>
        <v>257297.99968067152</v>
      </c>
      <c r="J32" s="3" t="s">
        <v>27</v>
      </c>
      <c r="K32" s="58" t="s">
        <v>173</v>
      </c>
      <c r="Q32" s="9"/>
    </row>
    <row r="33" spans="1:17" ht="15" customHeight="1" x14ac:dyDescent="0.25">
      <c r="A33" s="1"/>
      <c r="B33" s="19" t="s">
        <v>26</v>
      </c>
      <c r="C33" s="43"/>
      <c r="D33" s="3"/>
      <c r="E33" s="17"/>
      <c r="F33" s="38"/>
      <c r="G33" s="13">
        <v>28</v>
      </c>
      <c r="H33" s="54">
        <f t="shared" si="0"/>
        <v>960610.84363364324</v>
      </c>
      <c r="I33" s="59">
        <f>H33/((1+'2 - Inventory analysis'!$C$15)^G33)</f>
        <v>245045.71398159198</v>
      </c>
      <c r="J33" s="3" t="s">
        <v>27</v>
      </c>
      <c r="K33" s="58" t="s">
        <v>173</v>
      </c>
      <c r="Q33" s="9"/>
    </row>
    <row r="34" spans="1:17" ht="15" customHeight="1" x14ac:dyDescent="0.25">
      <c r="A34" s="33" t="s">
        <v>34</v>
      </c>
      <c r="B34" s="34" t="s">
        <v>22</v>
      </c>
      <c r="C34" s="34" t="s">
        <v>56</v>
      </c>
      <c r="D34" s="34" t="s">
        <v>23</v>
      </c>
      <c r="E34" s="34" t="s">
        <v>24</v>
      </c>
      <c r="G34" s="13">
        <v>29</v>
      </c>
      <c r="H34" s="54">
        <f t="shared" si="0"/>
        <v>960610.84363364324</v>
      </c>
      <c r="I34" s="59">
        <f>H34/((1+'2 - Inventory analysis'!$C$15)^G34)</f>
        <v>233376.87045865896</v>
      </c>
      <c r="J34" s="3" t="s">
        <v>27</v>
      </c>
      <c r="K34" s="58" t="s">
        <v>173</v>
      </c>
      <c r="Q34" s="9"/>
    </row>
    <row r="35" spans="1:17" ht="15" customHeight="1" x14ac:dyDescent="0.25">
      <c r="A35" s="1" t="s">
        <v>35</v>
      </c>
      <c r="B35" s="23" t="s">
        <v>157</v>
      </c>
      <c r="C35" s="56">
        <f>C13+C22+C29</f>
        <v>201236000</v>
      </c>
      <c r="D35" s="3" t="s">
        <v>141</v>
      </c>
      <c r="E35" s="16"/>
      <c r="G35" s="13">
        <v>30</v>
      </c>
      <c r="H35" s="54">
        <f t="shared" si="0"/>
        <v>960610.84363364324</v>
      </c>
      <c r="I35" s="59">
        <f>H35/((1+'2 - Inventory analysis'!$C$15)^G35)</f>
        <v>222263.68615110387</v>
      </c>
      <c r="J35" s="3" t="s">
        <v>27</v>
      </c>
      <c r="K35" s="58" t="s">
        <v>173</v>
      </c>
    </row>
    <row r="36" spans="1:17" ht="15" customHeight="1" x14ac:dyDescent="0.25">
      <c r="A36" s="1" t="s">
        <v>36</v>
      </c>
      <c r="B36" s="23" t="s">
        <v>37</v>
      </c>
      <c r="C36" s="56">
        <f>C14+C23</f>
        <v>960610.84363364324</v>
      </c>
      <c r="D36" s="14" t="s">
        <v>138</v>
      </c>
      <c r="E36" s="16"/>
      <c r="G36" s="13">
        <v>31</v>
      </c>
      <c r="H36" s="54">
        <f t="shared" si="0"/>
        <v>960610.84363364324</v>
      </c>
      <c r="I36" s="59">
        <f>H36/((1+'2 - Inventory analysis'!$C$15)^G36)</f>
        <v>211679.7010962893</v>
      </c>
      <c r="J36" s="3" t="s">
        <v>27</v>
      </c>
      <c r="K36" s="58" t="s">
        <v>173</v>
      </c>
    </row>
    <row r="37" spans="1:17" ht="15" customHeight="1" x14ac:dyDescent="0.25">
      <c r="A37" s="1" t="s">
        <v>15</v>
      </c>
      <c r="B37" s="24" t="s">
        <v>29</v>
      </c>
      <c r="C37" s="56">
        <f>I46</f>
        <v>208136537.75182647</v>
      </c>
      <c r="D37" s="3" t="s">
        <v>141</v>
      </c>
      <c r="E37" s="16" t="s">
        <v>174</v>
      </c>
      <c r="G37" s="13">
        <v>32</v>
      </c>
      <c r="H37" s="54">
        <f t="shared" si="0"/>
        <v>960610.84363364324</v>
      </c>
      <c r="I37" s="59">
        <f>H37/((1+'2 - Inventory analysis'!$C$15)^G37)</f>
        <v>201599.71532979936</v>
      </c>
      <c r="J37" s="3" t="s">
        <v>27</v>
      </c>
      <c r="K37" s="58" t="s">
        <v>173</v>
      </c>
    </row>
    <row r="38" spans="1:17" ht="15" customHeight="1" x14ac:dyDescent="0.25">
      <c r="G38" s="13">
        <v>33</v>
      </c>
      <c r="H38" s="54">
        <f t="shared" si="0"/>
        <v>960610.84363364324</v>
      </c>
      <c r="I38" s="59">
        <f>H38/((1+'2 - Inventory analysis'!$C$15)^G38)</f>
        <v>191999.72888552319</v>
      </c>
      <c r="J38" s="3" t="s">
        <v>27</v>
      </c>
      <c r="K38" s="58" t="s">
        <v>173</v>
      </c>
    </row>
    <row r="39" spans="1:17" ht="15" customHeight="1" x14ac:dyDescent="0.25">
      <c r="G39" s="13">
        <v>34</v>
      </c>
      <c r="H39" s="54">
        <f t="shared" si="0"/>
        <v>960610.84363364324</v>
      </c>
      <c r="I39" s="59">
        <f>H39/((1+'2 - Inventory analysis'!$C$15)^G39)</f>
        <v>182856.88465287923</v>
      </c>
      <c r="J39" s="3" t="s">
        <v>27</v>
      </c>
      <c r="K39" s="58" t="s">
        <v>173</v>
      </c>
    </row>
    <row r="40" spans="1:17" ht="15" customHeight="1" x14ac:dyDescent="0.25">
      <c r="G40" s="13">
        <v>35</v>
      </c>
      <c r="H40" s="54">
        <f t="shared" si="0"/>
        <v>960610.84363364324</v>
      </c>
      <c r="I40" s="59">
        <f>H40/((1+'2 - Inventory analysis'!$C$15)^G40)</f>
        <v>174149.41395512305</v>
      </c>
      <c r="J40" s="3" t="s">
        <v>27</v>
      </c>
      <c r="K40" s="58" t="s">
        <v>173</v>
      </c>
    </row>
    <row r="41" spans="1:17" ht="15" customHeight="1" x14ac:dyDescent="0.25">
      <c r="G41" s="13">
        <v>36</v>
      </c>
      <c r="H41" s="54">
        <f t="shared" si="0"/>
        <v>960610.84363364324</v>
      </c>
      <c r="I41" s="59">
        <f>H41/((1+'2 - Inventory analysis'!$C$15)^G41)</f>
        <v>165856.58471916485</v>
      </c>
      <c r="J41" s="3" t="s">
        <v>27</v>
      </c>
      <c r="K41" s="58" t="s">
        <v>173</v>
      </c>
    </row>
    <row r="42" spans="1:17" ht="15" customHeight="1" x14ac:dyDescent="0.25">
      <c r="G42" s="13">
        <v>37</v>
      </c>
      <c r="H42" s="54">
        <f t="shared" si="0"/>
        <v>960610.84363364324</v>
      </c>
      <c r="I42" s="59">
        <f>H42/((1+'2 - Inventory analysis'!$C$15)^G42)</f>
        <v>157958.6521134903</v>
      </c>
      <c r="J42" s="3" t="s">
        <v>27</v>
      </c>
      <c r="K42" s="58" t="s">
        <v>173</v>
      </c>
    </row>
    <row r="43" spans="1:17" ht="15" customHeight="1" x14ac:dyDescent="0.25">
      <c r="G43" s="13">
        <v>38</v>
      </c>
      <c r="H43" s="54">
        <f t="shared" si="0"/>
        <v>960610.84363364324</v>
      </c>
      <c r="I43" s="59">
        <f>H43/((1+'2 - Inventory analysis'!$C$15)^G43)</f>
        <v>150436.81153665745</v>
      </c>
      <c r="J43" s="3" t="s">
        <v>27</v>
      </c>
      <c r="K43" s="58" t="s">
        <v>173</v>
      </c>
    </row>
    <row r="44" spans="1:17" ht="15" customHeight="1" x14ac:dyDescent="0.25">
      <c r="G44" s="13">
        <v>39</v>
      </c>
      <c r="H44" s="54">
        <f t="shared" si="0"/>
        <v>960610.84363364324</v>
      </c>
      <c r="I44" s="59">
        <f>H44/((1+'2 - Inventory analysis'!$C$15)^G44)</f>
        <v>143273.15384443564</v>
      </c>
      <c r="J44" s="3" t="s">
        <v>27</v>
      </c>
      <c r="K44" s="58" t="s">
        <v>173</v>
      </c>
    </row>
    <row r="45" spans="1:17" ht="15" customHeight="1" x14ac:dyDescent="0.25">
      <c r="G45" s="13">
        <v>40</v>
      </c>
      <c r="H45" s="54">
        <f t="shared" si="0"/>
        <v>960610.84363364324</v>
      </c>
      <c r="I45" s="59">
        <f>H45/((1+'2 - Inventory analysis'!$C$15)^G45)</f>
        <v>136450.62270898634</v>
      </c>
      <c r="J45" s="3" t="s">
        <v>27</v>
      </c>
      <c r="K45" s="58" t="s">
        <v>173</v>
      </c>
    </row>
    <row r="46" spans="1:17" ht="15" customHeight="1" x14ac:dyDescent="0.25">
      <c r="G46" s="33" t="s">
        <v>40</v>
      </c>
      <c r="H46" s="54"/>
      <c r="I46" s="54">
        <f>SUM(I6:I45)</f>
        <v>208136537.75182647</v>
      </c>
      <c r="J46" s="3" t="s">
        <v>27</v>
      </c>
      <c r="K46" s="11"/>
    </row>
    <row r="47" spans="1:17" ht="15" customHeight="1" x14ac:dyDescent="0.25">
      <c r="G47" s="33" t="s">
        <v>39</v>
      </c>
      <c r="H47" s="54"/>
      <c r="I47" s="54">
        <f>SUM(I6:I30)</f>
        <v>205192129.31304735</v>
      </c>
      <c r="J47" s="3" t="s">
        <v>27</v>
      </c>
      <c r="K47" s="11"/>
    </row>
    <row r="48" spans="1:17" ht="15" customHeight="1" x14ac:dyDescent="0.25">
      <c r="G48" s="33" t="s">
        <v>38</v>
      </c>
      <c r="H48" s="54"/>
      <c r="I48" s="54">
        <f>SUM(I6:I15)</f>
        <v>199070915.63797292</v>
      </c>
      <c r="J48" s="3" t="s">
        <v>27</v>
      </c>
      <c r="K48" s="11"/>
    </row>
  </sheetData>
  <mergeCells count="5">
    <mergeCell ref="A3:D3"/>
    <mergeCell ref="A16:E16"/>
    <mergeCell ref="A4:E4"/>
    <mergeCell ref="A25:E25"/>
    <mergeCell ref="A31:E3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755C2-4D65-4595-8394-8ECFBC695D9C}">
  <dimension ref="A1:T28"/>
  <sheetViews>
    <sheetView zoomScaleNormal="100" workbookViewId="0">
      <selection activeCell="C23" sqref="C23"/>
    </sheetView>
  </sheetViews>
  <sheetFormatPr baseColWidth="10" defaultColWidth="8.85546875" defaultRowHeight="15" customHeight="1" x14ac:dyDescent="0.25"/>
  <cols>
    <col min="1" max="1" width="38.85546875" customWidth="1"/>
    <col min="2" max="4" width="11.140625" customWidth="1"/>
    <col min="5" max="5" width="30.85546875" customWidth="1"/>
    <col min="6" max="6" width="4.42578125" customWidth="1"/>
    <col min="12" max="12" width="13.42578125" customWidth="1"/>
    <col min="13" max="13" width="15.140625" style="9" customWidth="1"/>
    <col min="14" max="14" width="17.28515625" style="9" customWidth="1"/>
    <col min="16" max="16" width="17" customWidth="1"/>
    <col min="17" max="17" width="14" style="9" customWidth="1"/>
    <col min="18" max="18" width="16.42578125" customWidth="1"/>
  </cols>
  <sheetData>
    <row r="1" spans="1:20" ht="15" customHeight="1" x14ac:dyDescent="0.25">
      <c r="A1" s="2" t="s">
        <v>184</v>
      </c>
      <c r="B1" s="2"/>
      <c r="C1" s="2"/>
      <c r="M1"/>
      <c r="N1"/>
      <c r="Q1"/>
    </row>
    <row r="2" spans="1:20" ht="15" customHeight="1" x14ac:dyDescent="0.25">
      <c r="A2" s="2" t="s">
        <v>41</v>
      </c>
      <c r="B2" s="2"/>
      <c r="C2" s="2"/>
      <c r="M2"/>
      <c r="N2"/>
      <c r="Q2"/>
    </row>
    <row r="3" spans="1:20" ht="15" customHeight="1" x14ac:dyDescent="0.25">
      <c r="A3" s="71"/>
      <c r="B3" s="71"/>
      <c r="C3" s="71"/>
      <c r="D3" s="71"/>
      <c r="E3" s="71"/>
      <c r="F3" s="71"/>
      <c r="K3" s="8"/>
      <c r="M3"/>
      <c r="N3"/>
      <c r="P3" s="9"/>
      <c r="T3" s="9"/>
    </row>
    <row r="4" spans="1:20" ht="15" customHeight="1" x14ac:dyDescent="0.25">
      <c r="A4" s="22" t="s">
        <v>42</v>
      </c>
      <c r="B4" s="22"/>
      <c r="C4" s="22"/>
      <c r="D4" s="22"/>
      <c r="E4" s="22"/>
      <c r="Q4"/>
    </row>
    <row r="5" spans="1:20" ht="15" customHeight="1" x14ac:dyDescent="0.25">
      <c r="A5" s="6" t="s">
        <v>31</v>
      </c>
      <c r="B5" s="7" t="s">
        <v>22</v>
      </c>
      <c r="C5" s="7" t="s">
        <v>56</v>
      </c>
      <c r="D5" s="7" t="s">
        <v>23</v>
      </c>
      <c r="E5" s="7" t="s">
        <v>24</v>
      </c>
      <c r="Q5"/>
    </row>
    <row r="6" spans="1:20" ht="15" customHeight="1" x14ac:dyDescent="0.25">
      <c r="A6" s="60" t="s">
        <v>156</v>
      </c>
      <c r="B6" s="61" t="s">
        <v>43</v>
      </c>
      <c r="C6" s="62"/>
      <c r="D6" s="63" t="s">
        <v>27</v>
      </c>
      <c r="E6" s="64" t="s">
        <v>183</v>
      </c>
      <c r="Q6"/>
    </row>
    <row r="7" spans="1:20" ht="15" customHeight="1" x14ac:dyDescent="0.25">
      <c r="A7" s="1" t="s">
        <v>180</v>
      </c>
      <c r="B7" s="65" t="s">
        <v>44</v>
      </c>
      <c r="C7" s="53"/>
      <c r="D7" s="3" t="s">
        <v>27</v>
      </c>
      <c r="E7" s="16"/>
      <c r="Q7"/>
    </row>
    <row r="8" spans="1:20" ht="15" customHeight="1" x14ac:dyDescent="0.25">
      <c r="A8" s="1" t="s">
        <v>181</v>
      </c>
      <c r="B8" s="65" t="s">
        <v>45</v>
      </c>
      <c r="C8" s="53"/>
      <c r="D8" s="3" t="s">
        <v>27</v>
      </c>
      <c r="E8" s="16"/>
      <c r="Q8"/>
    </row>
    <row r="9" spans="1:20" ht="15" customHeight="1" x14ac:dyDescent="0.25">
      <c r="A9" s="1" t="s">
        <v>182</v>
      </c>
      <c r="B9" s="65" t="s">
        <v>46</v>
      </c>
      <c r="C9" s="53"/>
      <c r="D9" s="3" t="s">
        <v>27</v>
      </c>
      <c r="E9" s="16"/>
      <c r="Q9"/>
    </row>
    <row r="10" spans="1:20" ht="15" customHeight="1" x14ac:dyDescent="0.25">
      <c r="A10" s="1" t="s">
        <v>49</v>
      </c>
      <c r="B10" s="65" t="s">
        <v>50</v>
      </c>
      <c r="C10" s="53"/>
      <c r="D10" s="3" t="s">
        <v>27</v>
      </c>
      <c r="E10" s="16"/>
      <c r="Q10"/>
    </row>
    <row r="11" spans="1:20" ht="15" customHeight="1" x14ac:dyDescent="0.25">
      <c r="A11" s="1" t="s">
        <v>47</v>
      </c>
      <c r="B11" s="65" t="s">
        <v>48</v>
      </c>
      <c r="C11" s="53"/>
      <c r="D11" s="3" t="s">
        <v>27</v>
      </c>
      <c r="E11" s="16"/>
      <c r="Q11"/>
    </row>
    <row r="12" spans="1:20" ht="15" customHeight="1" x14ac:dyDescent="0.25">
      <c r="Q12"/>
    </row>
    <row r="13" spans="1:20" ht="15" customHeight="1" x14ac:dyDescent="0.25">
      <c r="Q13"/>
    </row>
    <row r="14" spans="1:20" ht="15" customHeight="1" x14ac:dyDescent="0.25">
      <c r="Q14"/>
    </row>
    <row r="15" spans="1:20" ht="15" customHeight="1" x14ac:dyDescent="0.25">
      <c r="Q15"/>
    </row>
    <row r="16" spans="1:20" ht="15" customHeight="1" x14ac:dyDescent="0.25">
      <c r="Q16"/>
    </row>
    <row r="17" spans="14:17" ht="15" customHeight="1" x14ac:dyDescent="0.25">
      <c r="Q17"/>
    </row>
    <row r="18" spans="14:17" ht="15" customHeight="1" x14ac:dyDescent="0.25">
      <c r="Q18"/>
    </row>
    <row r="19" spans="14:17" ht="15" customHeight="1" x14ac:dyDescent="0.25">
      <c r="Q19"/>
    </row>
    <row r="20" spans="14:17" ht="15" customHeight="1" x14ac:dyDescent="0.25">
      <c r="Q20"/>
    </row>
    <row r="21" spans="14:17" ht="15" customHeight="1" x14ac:dyDescent="0.25">
      <c r="Q21"/>
    </row>
    <row r="22" spans="14:17" ht="15" customHeight="1" x14ac:dyDescent="0.25">
      <c r="Q22"/>
    </row>
    <row r="23" spans="14:17" ht="15" customHeight="1" x14ac:dyDescent="0.25">
      <c r="Q23"/>
    </row>
    <row r="24" spans="14:17" ht="15" customHeight="1" x14ac:dyDescent="0.25">
      <c r="Q24"/>
    </row>
    <row r="25" spans="14:17" ht="15" customHeight="1" x14ac:dyDescent="0.25">
      <c r="Q25"/>
    </row>
    <row r="26" spans="14:17" ht="15" customHeight="1" x14ac:dyDescent="0.25">
      <c r="Q26"/>
    </row>
    <row r="27" spans="14:17" ht="15" customHeight="1" x14ac:dyDescent="0.25">
      <c r="N27" s="4"/>
      <c r="Q27"/>
    </row>
    <row r="28" spans="14:17" ht="15" customHeight="1" x14ac:dyDescent="0.25">
      <c r="N28" s="4"/>
      <c r="Q28"/>
    </row>
  </sheetData>
  <mergeCells count="1">
    <mergeCell ref="A3:F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D7CD3F7F90174C8BBEE51BEA6106ED" ma:contentTypeVersion="12" ma:contentTypeDescription="Crée un document." ma:contentTypeScope="" ma:versionID="d7544f1e879a20825b0b5ee67eb9c30b">
  <xsd:schema xmlns:xsd="http://www.w3.org/2001/XMLSchema" xmlns:xs="http://www.w3.org/2001/XMLSchema" xmlns:p="http://schemas.microsoft.com/office/2006/metadata/properties" xmlns:ns2="a2417512-4eee-410b-932e-3f04dd3f4b40" xmlns:ns3="5fcd851c-80db-489c-9474-c4d233511500" targetNamespace="http://schemas.microsoft.com/office/2006/metadata/properties" ma:root="true" ma:fieldsID="4d8443ceb2fb60c34dd6c3e28a22866b" ns2:_="" ns3:_="">
    <xsd:import namespace="a2417512-4eee-410b-932e-3f04dd3f4b40"/>
    <xsd:import namespace="5fcd851c-80db-489c-9474-c4d2335115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17512-4eee-410b-932e-3f04dd3f4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74adcb9-9639-454f-bd53-a051c6bc34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d851c-80db-489c-9474-c4d23351150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6646925-acf8-4710-b2ab-00402e095f53}" ma:internalName="TaxCatchAll" ma:showField="CatchAllData" ma:web="5fcd851c-80db-489c-9474-c4d2335115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417512-4eee-410b-932e-3f04dd3f4b40">
      <Terms xmlns="http://schemas.microsoft.com/office/infopath/2007/PartnerControls"/>
    </lcf76f155ced4ddcb4097134ff3c332f>
    <TaxCatchAll xmlns="5fcd851c-80db-489c-9474-c4d233511500" xsi:nil="true"/>
  </documentManagement>
</p:properties>
</file>

<file path=customXml/itemProps1.xml><?xml version="1.0" encoding="utf-8"?>
<ds:datastoreItem xmlns:ds="http://schemas.openxmlformats.org/officeDocument/2006/customXml" ds:itemID="{79B9AE1F-9F69-4F4B-A60E-8AE8D0BEE4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809A6C-6B04-4302-ACC2-BC6DED6B1A35}"/>
</file>

<file path=customXml/itemProps3.xml><?xml version="1.0" encoding="utf-8"?>
<ds:datastoreItem xmlns:ds="http://schemas.openxmlformats.org/officeDocument/2006/customXml" ds:itemID="{304614B6-A670-4EAC-8BA1-BD1CB80DE309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5fcd851c-80db-489c-9474-c4d23351150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2417512-4eee-410b-932e-3f04dd3f4b4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1 - Goal and scope definition</vt:lpstr>
      <vt:lpstr>2 - Inventory analysis</vt:lpstr>
      <vt:lpstr>3 - Calculation of indicators</vt:lpstr>
      <vt:lpstr>4 - Interpretation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Lauro</dc:creator>
  <cp:keywords/>
  <dc:description/>
  <cp:lastModifiedBy>Loic Queval</cp:lastModifiedBy>
  <cp:revision/>
  <dcterms:created xsi:type="dcterms:W3CDTF">2015-06-05T18:19:34Z</dcterms:created>
  <dcterms:modified xsi:type="dcterms:W3CDTF">2024-04-09T21:40:24Z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0x010100F6D7CD3F7F90174C8BBEE51BEA6106ED</vt:lpwstr>
  </property>
  <property fmtid="{D5CDD505-2E9C-101B-9397-08002B2CF9AE}" pid="3" name="MediaServiceImageTags">
    <vt:lpwstr/>
  </property>
</Properties>
</file>