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380" yWindow="0" windowWidth="25600" windowHeight="16060" tabRatio="616" firstSheet="2" activeTab="6"/>
  </bookViews>
  <sheets>
    <sheet name="Parametres economiques" sheetId="27" r:id="rId1"/>
    <sheet name="Répartition des cultures" sheetId="25" r:id="rId2"/>
    <sheet name="humide-BD" sheetId="6" r:id="rId3"/>
    <sheet name="humide-BT" sheetId="11" r:id="rId4"/>
    <sheet name="humide-orge" sheetId="19" r:id="rId5"/>
    <sheet name="humide lég alim_feverole" sheetId="28" r:id="rId6"/>
    <sheet name="Marges par type de culture" sheetId="22" r:id="rId7"/>
    <sheet name="Selon évolution actuelle" sheetId="23" r:id="rId8"/>
    <sheet name="Avec plus de légumineuses" sheetId="24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" i="22" l="1"/>
  <c r="K4" i="22"/>
  <c r="H52" i="28"/>
  <c r="H51" i="28"/>
  <c r="H63" i="28"/>
  <c r="H62" i="28"/>
  <c r="H61" i="28"/>
  <c r="H60" i="28"/>
  <c r="H58" i="28"/>
  <c r="H57" i="28"/>
  <c r="H55" i="28"/>
  <c r="H54" i="28"/>
  <c r="H53" i="28"/>
  <c r="H49" i="28"/>
  <c r="H48" i="28"/>
  <c r="H47" i="28"/>
  <c r="H46" i="28"/>
  <c r="H44" i="28"/>
  <c r="H43" i="28"/>
  <c r="H42" i="28"/>
  <c r="H41" i="28"/>
  <c r="H40" i="28"/>
  <c r="H39" i="28"/>
  <c r="H37" i="28"/>
  <c r="H36" i="28"/>
  <c r="H35" i="28"/>
  <c r="H34" i="28"/>
  <c r="H33" i="28"/>
  <c r="H32" i="28"/>
  <c r="H31" i="28"/>
  <c r="H30" i="28"/>
  <c r="H28" i="28"/>
  <c r="H27" i="28"/>
  <c r="H25" i="28"/>
  <c r="C24" i="28"/>
  <c r="H24" i="28"/>
  <c r="D24" i="28"/>
  <c r="H23" i="28"/>
  <c r="D22" i="28"/>
  <c r="C22" i="28"/>
  <c r="H22" i="28"/>
  <c r="E22" i="28"/>
  <c r="H21" i="28"/>
  <c r="C20" i="28"/>
  <c r="H20" i="28"/>
  <c r="E20" i="28"/>
  <c r="H19" i="28"/>
  <c r="C18" i="28"/>
  <c r="H18" i="28"/>
  <c r="E18" i="28"/>
  <c r="D18" i="28"/>
  <c r="H17" i="28"/>
  <c r="H16" i="28"/>
  <c r="D16" i="28"/>
  <c r="H15" i="28"/>
  <c r="C14" i="28"/>
  <c r="H14" i="28"/>
  <c r="E14" i="28"/>
  <c r="D14" i="28"/>
  <c r="C13" i="28"/>
  <c r="H13" i="28"/>
  <c r="H8" i="28"/>
  <c r="H11" i="28"/>
  <c r="H10" i="28"/>
  <c r="H9" i="28"/>
  <c r="E8" i="28"/>
  <c r="H7" i="28"/>
  <c r="H63" i="19"/>
  <c r="H62" i="19"/>
  <c r="H61" i="19"/>
  <c r="H60" i="19"/>
  <c r="H58" i="19"/>
  <c r="H57" i="19"/>
  <c r="H55" i="19"/>
  <c r="H54" i="19"/>
  <c r="H53" i="19"/>
  <c r="H52" i="19"/>
  <c r="H51" i="19"/>
  <c r="H49" i="19"/>
  <c r="H48" i="19"/>
  <c r="H47" i="19"/>
  <c r="H46" i="19"/>
  <c r="H44" i="19"/>
  <c r="H43" i="19"/>
  <c r="H42" i="19"/>
  <c r="H41" i="19"/>
  <c r="H40" i="19"/>
  <c r="H39" i="19"/>
  <c r="H37" i="19"/>
  <c r="H36" i="19"/>
  <c r="H35" i="19"/>
  <c r="H34" i="19"/>
  <c r="H33" i="19"/>
  <c r="H32" i="19"/>
  <c r="H31" i="19"/>
  <c r="H30" i="19"/>
  <c r="H28" i="19"/>
  <c r="H27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8" i="19"/>
  <c r="H11" i="19"/>
  <c r="C10" i="19"/>
  <c r="H10" i="19"/>
  <c r="H9" i="19"/>
  <c r="H7" i="19"/>
  <c r="H63" i="11"/>
  <c r="H62" i="11"/>
  <c r="H61" i="11"/>
  <c r="H60" i="11"/>
  <c r="H58" i="11"/>
  <c r="H57" i="11"/>
  <c r="H55" i="11"/>
  <c r="H54" i="11"/>
  <c r="H53" i="11"/>
  <c r="H52" i="11"/>
  <c r="H51" i="11"/>
  <c r="H49" i="11"/>
  <c r="H48" i="11"/>
  <c r="H47" i="11"/>
  <c r="H46" i="11"/>
  <c r="H44" i="11"/>
  <c r="H43" i="11"/>
  <c r="H42" i="11"/>
  <c r="H41" i="11"/>
  <c r="H40" i="11"/>
  <c r="H39" i="11"/>
  <c r="H37" i="11"/>
  <c r="H36" i="11"/>
  <c r="H35" i="11"/>
  <c r="H34" i="11"/>
  <c r="H33" i="11"/>
  <c r="H32" i="11"/>
  <c r="H31" i="11"/>
  <c r="H30" i="11"/>
  <c r="H28" i="11"/>
  <c r="H27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8" i="11"/>
  <c r="H11" i="11"/>
  <c r="C10" i="11"/>
  <c r="H10" i="11"/>
  <c r="H9" i="11"/>
  <c r="H7" i="11"/>
  <c r="H63" i="6"/>
  <c r="H62" i="6"/>
  <c r="H61" i="6"/>
  <c r="H60" i="6"/>
  <c r="H58" i="6"/>
  <c r="H57" i="6"/>
  <c r="H55" i="6"/>
  <c r="H54" i="6"/>
  <c r="H53" i="6"/>
  <c r="H52" i="6"/>
  <c r="H51" i="6"/>
  <c r="H49" i="6"/>
  <c r="H48" i="6"/>
  <c r="H47" i="6"/>
  <c r="H46" i="6"/>
  <c r="H44" i="6"/>
  <c r="H43" i="6"/>
  <c r="H42" i="6"/>
  <c r="H41" i="6"/>
  <c r="H40" i="6"/>
  <c r="H39" i="6"/>
  <c r="H37" i="6"/>
  <c r="H36" i="6"/>
  <c r="H35" i="6"/>
  <c r="H34" i="6"/>
  <c r="H33" i="6"/>
  <c r="H32" i="6"/>
  <c r="H31" i="6"/>
  <c r="H30" i="6"/>
  <c r="H28" i="6"/>
  <c r="H27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8" i="6"/>
  <c r="H11" i="6"/>
  <c r="C10" i="6"/>
  <c r="H10" i="6"/>
  <c r="H9" i="6"/>
  <c r="H7" i="6"/>
  <c r="C8" i="25"/>
  <c r="C7" i="25"/>
  <c r="C6" i="25"/>
  <c r="B11" i="25"/>
  <c r="C11" i="25"/>
  <c r="B12" i="25"/>
  <c r="C12" i="25"/>
  <c r="B13" i="25"/>
  <c r="C13" i="25"/>
  <c r="B14" i="25"/>
  <c r="C14" i="25"/>
  <c r="C15" i="25"/>
  <c r="C18" i="25"/>
  <c r="C20" i="25"/>
  <c r="C27" i="25"/>
  <c r="C36" i="25"/>
  <c r="C37" i="25"/>
  <c r="B15" i="25"/>
  <c r="B18" i="25"/>
  <c r="B20" i="25"/>
  <c r="B27" i="25"/>
  <c r="B36" i="25"/>
  <c r="B37" i="25"/>
  <c r="D4" i="22"/>
  <c r="D11" i="22"/>
  <c r="D12" i="22"/>
  <c r="D13" i="22"/>
  <c r="D14" i="22"/>
  <c r="D15" i="22"/>
  <c r="D16" i="22"/>
  <c r="D17" i="22"/>
  <c r="D18" i="22"/>
  <c r="D19" i="22"/>
  <c r="D24" i="22"/>
  <c r="D25" i="22"/>
  <c r="G4" i="22"/>
  <c r="G11" i="22"/>
  <c r="G12" i="22"/>
  <c r="G13" i="22"/>
  <c r="G14" i="22"/>
  <c r="G15" i="22"/>
  <c r="G16" i="22"/>
  <c r="G17" i="22"/>
  <c r="G18" i="22"/>
  <c r="G19" i="22"/>
  <c r="G24" i="22"/>
  <c r="G25" i="22"/>
  <c r="J4" i="22"/>
  <c r="J11" i="22"/>
  <c r="J12" i="22"/>
  <c r="J13" i="22"/>
  <c r="J14" i="22"/>
  <c r="J15" i="22"/>
  <c r="J16" i="22"/>
  <c r="J17" i="22"/>
  <c r="J18" i="22"/>
  <c r="J19" i="22"/>
  <c r="J24" i="22"/>
  <c r="J25" i="22"/>
  <c r="M11" i="22"/>
  <c r="M12" i="22"/>
  <c r="M13" i="22"/>
  <c r="M14" i="22"/>
  <c r="M15" i="22"/>
  <c r="M16" i="22"/>
  <c r="M17" i="22"/>
  <c r="M18" i="22"/>
  <c r="M19" i="22"/>
  <c r="M24" i="22"/>
  <c r="M25" i="22"/>
  <c r="D36" i="22"/>
  <c r="K11" i="22"/>
  <c r="K12" i="22"/>
  <c r="K13" i="22"/>
  <c r="K14" i="22"/>
  <c r="K15" i="22"/>
  <c r="K16" i="22"/>
  <c r="K17" i="22"/>
  <c r="K18" i="22"/>
  <c r="K19" i="22"/>
  <c r="K24" i="22"/>
  <c r="K25" i="22"/>
  <c r="L25" i="22"/>
  <c r="C36" i="22"/>
  <c r="B4" i="22"/>
  <c r="B11" i="22"/>
  <c r="B12" i="22"/>
  <c r="B13" i="22"/>
  <c r="B14" i="22"/>
  <c r="B15" i="22"/>
  <c r="B16" i="22"/>
  <c r="B17" i="22"/>
  <c r="B18" i="22"/>
  <c r="B19" i="22"/>
  <c r="B24" i="22"/>
  <c r="B25" i="22"/>
  <c r="E4" i="22"/>
  <c r="E11" i="22"/>
  <c r="E12" i="22"/>
  <c r="E13" i="22"/>
  <c r="E14" i="22"/>
  <c r="E15" i="22"/>
  <c r="E16" i="22"/>
  <c r="E17" i="22"/>
  <c r="E18" i="22"/>
  <c r="E19" i="22"/>
  <c r="E24" i="22"/>
  <c r="E25" i="22"/>
  <c r="H4" i="22"/>
  <c r="H11" i="22"/>
  <c r="H12" i="22"/>
  <c r="H13" i="22"/>
  <c r="H14" i="22"/>
  <c r="H15" i="22"/>
  <c r="H16" i="22"/>
  <c r="H17" i="22"/>
  <c r="H18" i="22"/>
  <c r="H19" i="22"/>
  <c r="H24" i="22"/>
  <c r="H25" i="22"/>
  <c r="B36" i="22"/>
  <c r="D35" i="22"/>
  <c r="C4" i="22"/>
  <c r="C11" i="22"/>
  <c r="C12" i="22"/>
  <c r="C13" i="22"/>
  <c r="C14" i="22"/>
  <c r="C15" i="22"/>
  <c r="C16" i="22"/>
  <c r="C17" i="22"/>
  <c r="C18" i="22"/>
  <c r="C19" i="22"/>
  <c r="C24" i="22"/>
  <c r="F4" i="22"/>
  <c r="F11" i="22"/>
  <c r="F12" i="22"/>
  <c r="F13" i="22"/>
  <c r="F14" i="22"/>
  <c r="F15" i="22"/>
  <c r="F16" i="22"/>
  <c r="F17" i="22"/>
  <c r="F18" i="22"/>
  <c r="F19" i="22"/>
  <c r="F24" i="22"/>
  <c r="I4" i="22"/>
  <c r="I11" i="22"/>
  <c r="I12" i="22"/>
  <c r="I13" i="22"/>
  <c r="I14" i="22"/>
  <c r="I15" i="22"/>
  <c r="I16" i="22"/>
  <c r="I17" i="22"/>
  <c r="I18" i="22"/>
  <c r="I19" i="22"/>
  <c r="I24" i="22"/>
  <c r="L4" i="22"/>
  <c r="L11" i="22"/>
  <c r="L12" i="22"/>
  <c r="L13" i="22"/>
  <c r="L14" i="22"/>
  <c r="L15" i="22"/>
  <c r="L16" i="22"/>
  <c r="L17" i="22"/>
  <c r="L18" i="22"/>
  <c r="L19" i="22"/>
  <c r="L24" i="22"/>
  <c r="C35" i="22"/>
  <c r="B35" i="22"/>
  <c r="D23" i="22"/>
  <c r="G23" i="22"/>
  <c r="J23" i="22"/>
  <c r="M23" i="22"/>
  <c r="D33" i="22"/>
  <c r="B23" i="22"/>
  <c r="C23" i="22"/>
  <c r="E23" i="22"/>
  <c r="F23" i="22"/>
  <c r="H23" i="22"/>
  <c r="I23" i="22"/>
  <c r="K23" i="22"/>
  <c r="L23" i="22"/>
  <c r="C33" i="22"/>
  <c r="B33" i="22"/>
  <c r="D31" i="22"/>
  <c r="C31" i="22"/>
  <c r="B31" i="22"/>
  <c r="D8" i="22"/>
  <c r="D5" i="22"/>
  <c r="D7" i="22"/>
  <c r="D9" i="22"/>
  <c r="G8" i="22"/>
  <c r="G5" i="22"/>
  <c r="G7" i="22"/>
  <c r="G9" i="22"/>
  <c r="J8" i="22"/>
  <c r="J5" i="22"/>
  <c r="J7" i="22"/>
  <c r="J9" i="22"/>
  <c r="M5" i="22"/>
  <c r="M7" i="22"/>
  <c r="M9" i="22"/>
  <c r="D30" i="22"/>
  <c r="B8" i="22"/>
  <c r="C8" i="22"/>
  <c r="B5" i="22"/>
  <c r="C5" i="22"/>
  <c r="B7" i="22"/>
  <c r="C7" i="22"/>
  <c r="C9" i="22"/>
  <c r="E8" i="22"/>
  <c r="F8" i="22"/>
  <c r="E5" i="22"/>
  <c r="F5" i="22"/>
  <c r="E7" i="22"/>
  <c r="F7" i="22"/>
  <c r="F9" i="22"/>
  <c r="H8" i="22"/>
  <c r="I8" i="22"/>
  <c r="H5" i="22"/>
  <c r="I5" i="22"/>
  <c r="H7" i="22"/>
  <c r="I7" i="22"/>
  <c r="I9" i="22"/>
  <c r="K5" i="22"/>
  <c r="L5" i="22"/>
  <c r="K7" i="22"/>
  <c r="L7" i="22"/>
  <c r="L9" i="22"/>
  <c r="C30" i="22"/>
  <c r="B9" i="22"/>
  <c r="E9" i="22"/>
  <c r="H9" i="22"/>
  <c r="K9" i="22"/>
  <c r="B30" i="22"/>
  <c r="K10" i="24"/>
  <c r="J10" i="24"/>
  <c r="I10" i="24"/>
  <c r="H10" i="24"/>
  <c r="G10" i="24"/>
  <c r="F10" i="24"/>
  <c r="E10" i="24"/>
  <c r="D10" i="24"/>
  <c r="D9" i="24"/>
  <c r="K9" i="24"/>
  <c r="J9" i="24"/>
  <c r="I9" i="24"/>
  <c r="H9" i="24"/>
  <c r="G9" i="24"/>
  <c r="F9" i="24"/>
  <c r="E9" i="24"/>
  <c r="B9" i="24"/>
  <c r="C9" i="24"/>
  <c r="B8" i="24"/>
  <c r="D8" i="24"/>
  <c r="K7" i="24"/>
  <c r="J7" i="24"/>
  <c r="I7" i="24"/>
  <c r="H7" i="24"/>
  <c r="G7" i="24"/>
  <c r="F7" i="24"/>
  <c r="E7" i="24"/>
  <c r="D7" i="24"/>
  <c r="K4" i="24"/>
  <c r="J4" i="24"/>
  <c r="I4" i="24"/>
  <c r="H4" i="24"/>
  <c r="G4" i="24"/>
  <c r="F4" i="24"/>
  <c r="E4" i="24"/>
  <c r="D4" i="24"/>
  <c r="K3" i="24"/>
  <c r="J3" i="24"/>
  <c r="I3" i="24"/>
  <c r="H3" i="24"/>
  <c r="G3" i="24"/>
  <c r="F3" i="24"/>
  <c r="E3" i="24"/>
  <c r="D3" i="24"/>
  <c r="C3" i="24"/>
  <c r="B7" i="24"/>
  <c r="C7" i="24"/>
  <c r="D8" i="23"/>
  <c r="B8" i="23"/>
  <c r="C8" i="23"/>
  <c r="K8" i="23"/>
  <c r="J8" i="23"/>
  <c r="I8" i="23"/>
  <c r="H8" i="23"/>
  <c r="G8" i="23"/>
  <c r="F8" i="23"/>
  <c r="E8" i="23"/>
  <c r="B3" i="23"/>
  <c r="B4" i="23"/>
  <c r="B11" i="23"/>
  <c r="D10" i="23"/>
  <c r="B10" i="23"/>
  <c r="C10" i="23"/>
  <c r="B9" i="23"/>
  <c r="B13" i="23"/>
  <c r="B3" i="24"/>
  <c r="B4" i="24"/>
  <c r="B10" i="24"/>
  <c r="B12" i="24"/>
  <c r="B13" i="24"/>
  <c r="B15" i="24"/>
  <c r="B33" i="24"/>
  <c r="F8" i="24"/>
  <c r="F12" i="24"/>
  <c r="F3" i="23"/>
  <c r="F4" i="23"/>
  <c r="G10" i="23"/>
  <c r="F10" i="23"/>
  <c r="F9" i="23"/>
  <c r="F11" i="23"/>
  <c r="F13" i="23"/>
  <c r="F13" i="24"/>
  <c r="F15" i="24"/>
  <c r="F33" i="24"/>
  <c r="C8" i="24"/>
  <c r="E8" i="24"/>
  <c r="G8" i="24"/>
  <c r="H8" i="24"/>
  <c r="I8" i="24"/>
  <c r="J8" i="24"/>
  <c r="K8" i="24"/>
  <c r="K12" i="24"/>
  <c r="K3" i="23"/>
  <c r="K4" i="23"/>
  <c r="C9" i="23"/>
  <c r="E10" i="23"/>
  <c r="D9" i="23"/>
  <c r="E9" i="23"/>
  <c r="H10" i="23"/>
  <c r="G9" i="23"/>
  <c r="I10" i="23"/>
  <c r="H9" i="23"/>
  <c r="J10" i="23"/>
  <c r="I9" i="23"/>
  <c r="K10" i="23"/>
  <c r="J9" i="23"/>
  <c r="K9" i="23"/>
  <c r="K11" i="23"/>
  <c r="K13" i="23"/>
  <c r="K13" i="24"/>
  <c r="K15" i="24"/>
  <c r="K33" i="24"/>
  <c r="D3" i="23"/>
  <c r="C3" i="23"/>
  <c r="D4" i="23"/>
  <c r="C4" i="23"/>
  <c r="D11" i="23"/>
  <c r="C11" i="23"/>
  <c r="C13" i="23"/>
  <c r="C13" i="24"/>
  <c r="C4" i="24"/>
  <c r="C10" i="24"/>
  <c r="C12" i="24"/>
  <c r="C15" i="24"/>
  <c r="C33" i="24"/>
  <c r="D13" i="23"/>
  <c r="D13" i="24"/>
  <c r="D12" i="24"/>
  <c r="D15" i="24"/>
  <c r="D33" i="24"/>
  <c r="E3" i="23"/>
  <c r="E4" i="23"/>
  <c r="E11" i="23"/>
  <c r="E13" i="23"/>
  <c r="E13" i="24"/>
  <c r="E12" i="24"/>
  <c r="E15" i="24"/>
  <c r="E33" i="24"/>
  <c r="G3" i="23"/>
  <c r="G4" i="23"/>
  <c r="G11" i="23"/>
  <c r="G13" i="23"/>
  <c r="G13" i="24"/>
  <c r="G12" i="24"/>
  <c r="G15" i="24"/>
  <c r="G33" i="24"/>
  <c r="H3" i="23"/>
  <c r="H4" i="23"/>
  <c r="H11" i="23"/>
  <c r="H13" i="23"/>
  <c r="H13" i="24"/>
  <c r="H12" i="24"/>
  <c r="H15" i="24"/>
  <c r="H33" i="24"/>
  <c r="I3" i="23"/>
  <c r="I4" i="23"/>
  <c r="I11" i="23"/>
  <c r="I13" i="23"/>
  <c r="I13" i="24"/>
  <c r="I12" i="24"/>
  <c r="I15" i="24"/>
  <c r="I33" i="24"/>
  <c r="J3" i="23"/>
  <c r="J4" i="23"/>
  <c r="J11" i="23"/>
  <c r="J13" i="23"/>
  <c r="J13" i="24"/>
  <c r="J12" i="24"/>
  <c r="J15" i="24"/>
  <c r="J33" i="24"/>
  <c r="B36" i="24"/>
  <c r="B35" i="24"/>
  <c r="B18" i="24"/>
  <c r="B17" i="24"/>
  <c r="B32" i="22"/>
  <c r="B34" i="22"/>
  <c r="D32" i="22"/>
  <c r="D34" i="22"/>
  <c r="C32" i="22"/>
  <c r="C34" i="22"/>
  <c r="C21" i="22"/>
  <c r="M21" i="22"/>
  <c r="L21" i="22"/>
  <c r="K21" i="22"/>
  <c r="M6" i="22"/>
  <c r="L6" i="22"/>
  <c r="K6" i="22"/>
  <c r="B6" i="22"/>
  <c r="C6" i="22"/>
  <c r="D6" i="22"/>
  <c r="E6" i="22"/>
  <c r="F6" i="22"/>
  <c r="G6" i="22"/>
  <c r="H6" i="22"/>
  <c r="I6" i="22"/>
  <c r="J6" i="22"/>
  <c r="B21" i="22"/>
  <c r="D21" i="22"/>
  <c r="E21" i="22"/>
  <c r="F21" i="22"/>
  <c r="G21" i="22"/>
  <c r="H21" i="22"/>
  <c r="I21" i="22"/>
  <c r="J21" i="22"/>
  <c r="B31" i="24"/>
  <c r="C31" i="24"/>
  <c r="D31" i="24"/>
  <c r="E31" i="24"/>
  <c r="F31" i="24"/>
  <c r="G31" i="24"/>
  <c r="H31" i="24"/>
  <c r="I31" i="24"/>
  <c r="J31" i="24"/>
  <c r="K31" i="24"/>
</calcChain>
</file>

<file path=xl/comments1.xml><?xml version="1.0" encoding="utf-8"?>
<comments xmlns="http://schemas.openxmlformats.org/spreadsheetml/2006/main">
  <authors>
    <author>Emma Q</author>
  </authors>
  <commentList>
    <comment ref="A9" authorId="0">
      <text>
        <r>
          <rPr>
            <sz val="9"/>
            <color indexed="81"/>
            <rFont val="Calibri"/>
            <family val="2"/>
          </rPr>
          <t>Chiffres situation actuelle tirés de : Céréales 2013_2014.xlsx et du tableau 1 de Chebil (2011)
divisés par 2 pour avoir l'équivalent annuel
Chiffres inspirés de assollement_COMPLET_SMSA de laaroussa(Siliana_semi-aride) pour semi-aride</t>
        </r>
      </text>
    </comment>
    <comment ref="A14" authorId="0">
      <text>
        <r>
          <rPr>
            <sz val="9"/>
            <color indexed="81"/>
            <rFont val="Calibri"/>
            <family val="2"/>
          </rPr>
          <t>pas de données disponibles</t>
        </r>
      </text>
    </comment>
    <comment ref="A19" authorId="0">
      <text>
        <r>
          <rPr>
            <sz val="9"/>
            <color indexed="81"/>
            <rFont val="Calibri"/>
            <family val="2"/>
          </rPr>
          <t>pas de données disponibles</t>
        </r>
      </text>
    </comment>
    <comment ref="A22" authorId="0">
      <text>
        <r>
          <rPr>
            <sz val="9"/>
            <color indexed="81"/>
            <rFont val="Calibri"/>
            <family val="2"/>
          </rPr>
          <t>pas de données disponibles</t>
        </r>
      </text>
    </comment>
    <comment ref="A28" authorId="0">
      <text>
        <r>
          <rPr>
            <sz val="9"/>
            <color indexed="81"/>
            <rFont val="Calibri"/>
            <family val="2"/>
          </rPr>
          <t>pas de données disponibles</t>
        </r>
      </text>
    </comment>
    <comment ref="A37" authorId="0">
      <text>
        <r>
          <rPr>
            <sz val="9"/>
            <color indexed="81"/>
            <rFont val="Calibri"/>
            <family val="2"/>
          </rPr>
          <t>possible d'avoir plus de 100% s'il y a des cultures en association</t>
        </r>
      </text>
    </comment>
  </commentList>
</comments>
</file>

<file path=xl/comments2.xml><?xml version="1.0" encoding="utf-8"?>
<comments xmlns="http://schemas.openxmlformats.org/spreadsheetml/2006/main">
  <authors>
    <author>Emma Q</author>
  </authors>
  <commentList>
    <comment ref="H4" authorId="0">
      <text>
        <r>
          <rPr>
            <sz val="9"/>
            <color indexed="81"/>
            <rFont val="Calibri"/>
            <family val="2"/>
          </rPr>
          <t>L'idée est d'avoir des données représentatives d'une "exploitation-type" (exploitation "moyenne")</t>
        </r>
      </text>
    </comment>
  </commentList>
</comments>
</file>

<file path=xl/comments3.xml><?xml version="1.0" encoding="utf-8"?>
<comments xmlns="http://schemas.openxmlformats.org/spreadsheetml/2006/main">
  <authors>
    <author>Emma Q</author>
  </authors>
  <commentList>
    <comment ref="H4" authorId="0">
      <text>
        <r>
          <rPr>
            <sz val="9"/>
            <color indexed="81"/>
            <rFont val="Calibri"/>
            <family val="2"/>
          </rPr>
          <t>L'idée est d'avoir des données représentatives d'une "exploitation-type" (exploitation "moyenne")</t>
        </r>
      </text>
    </comment>
  </commentList>
</comments>
</file>

<file path=xl/comments4.xml><?xml version="1.0" encoding="utf-8"?>
<comments xmlns="http://schemas.openxmlformats.org/spreadsheetml/2006/main">
  <authors>
    <author>Emma Q</author>
  </authors>
  <commentList>
    <comment ref="H4" authorId="0">
      <text>
        <r>
          <rPr>
            <sz val="9"/>
            <color indexed="81"/>
            <rFont val="Calibri"/>
            <family val="2"/>
          </rPr>
          <t>L'idée est d'avoir des données représentatives d'une "exploitation-type" (exploitation "moyenne")</t>
        </r>
      </text>
    </comment>
  </commentList>
</comments>
</file>

<file path=xl/comments5.xml><?xml version="1.0" encoding="utf-8"?>
<comments xmlns="http://schemas.openxmlformats.org/spreadsheetml/2006/main">
  <authors>
    <author>Emma Q</author>
  </authors>
  <commentList>
    <comment ref="C4" authorId="0">
      <text>
        <r>
          <rPr>
            <sz val="9"/>
            <color indexed="81"/>
            <rFont val="Calibri"/>
            <family val="2"/>
          </rPr>
          <t>L'idée est d'avoir des données représentatives d'une "exploitation-type" (exploitation "moyenne")</t>
        </r>
      </text>
    </comment>
    <comment ref="H4" authorId="0">
      <text>
        <r>
          <rPr>
            <sz val="9"/>
            <color indexed="81"/>
            <rFont val="Calibri"/>
            <family val="2"/>
          </rPr>
          <t>L'idée est d'avoir des données représentatives d'une "exploitation-type" (exploitation "moyenne")</t>
        </r>
      </text>
    </comment>
  </commentList>
</comments>
</file>

<file path=xl/comments6.xml><?xml version="1.0" encoding="utf-8"?>
<comments xmlns="http://schemas.openxmlformats.org/spreadsheetml/2006/main">
  <authors>
    <author>Emma Q</author>
  </authors>
  <commentList>
    <comment ref="C5" authorId="0">
      <text>
        <r>
          <rPr>
            <b/>
            <sz val="9"/>
            <color indexed="81"/>
            <rFont val="Calibri"/>
            <family val="2"/>
          </rPr>
          <t>Diminution de 2% des rendements (hypothèse)</t>
        </r>
      </text>
    </comment>
    <comment ref="F5" authorId="0">
      <text>
        <r>
          <rPr>
            <b/>
            <sz val="9"/>
            <color indexed="81"/>
            <rFont val="Calibri"/>
            <family val="2"/>
          </rPr>
          <t>Diminution de 2% des rendements (hypothèse)</t>
        </r>
      </text>
    </comment>
    <comment ref="I5" authorId="0">
      <text>
        <r>
          <rPr>
            <b/>
            <sz val="9"/>
            <color indexed="81"/>
            <rFont val="Calibri"/>
            <family val="2"/>
          </rPr>
          <t>Diminution de 2% des rendements (hypothèse)</t>
        </r>
      </text>
    </comment>
    <comment ref="C13" authorId="0">
      <text>
        <r>
          <rPr>
            <b/>
            <sz val="9"/>
            <color indexed="81"/>
            <rFont val="Calibri"/>
            <family val="2"/>
          </rPr>
          <t>Augmentation des coûts de fertilisation 10% (hypothèse)</t>
        </r>
      </text>
    </comment>
    <comment ref="F13" authorId="0">
      <text>
        <r>
          <rPr>
            <b/>
            <sz val="9"/>
            <color indexed="81"/>
            <rFont val="Calibri"/>
            <family val="2"/>
          </rPr>
          <t>Augmentation des coûts de fertilisation 10% (hypothèse)</t>
        </r>
      </text>
    </comment>
    <comment ref="I13" authorId="0">
      <text>
        <r>
          <rPr>
            <b/>
            <sz val="9"/>
            <color indexed="81"/>
            <rFont val="Calibri"/>
            <family val="2"/>
          </rPr>
          <t>Augmentation des coûts de fertilisation 10% (hypothèse)</t>
        </r>
      </text>
    </comment>
    <comment ref="A24" authorId="0">
      <text>
        <r>
          <rPr>
            <b/>
            <sz val="9"/>
            <color indexed="81"/>
            <rFont val="Calibri"/>
            <family val="2"/>
          </rPr>
          <t>par hypothèse pur pouvoir calculer montant subvention</t>
        </r>
      </text>
    </comment>
    <comment ref="C25" authorId="0">
      <text>
        <r>
          <rPr>
            <b/>
            <sz val="9"/>
            <color indexed="81"/>
            <rFont val="Calibri"/>
            <family val="2"/>
          </rPr>
          <t>par hypothèse, pas de maintien dans le temps des subventions</t>
        </r>
      </text>
    </comment>
  </commentList>
</comments>
</file>

<file path=xl/comments7.xml><?xml version="1.0" encoding="utf-8"?>
<comments xmlns="http://schemas.openxmlformats.org/spreadsheetml/2006/main">
  <authors>
    <author>Emma Q</author>
  </authors>
  <commentList>
    <comment ref="K7" authorId="0">
      <text>
        <r>
          <rPr>
            <b/>
            <sz val="9"/>
            <color indexed="81"/>
            <rFont val="Calibri"/>
            <family val="2"/>
          </rPr>
          <t>pas de valeur résiduelle</t>
        </r>
      </text>
    </comment>
    <comment ref="A22" authorId="0">
      <text>
        <r>
          <rPr>
            <sz val="9"/>
            <color indexed="81"/>
            <rFont val="Calibri"/>
            <family val="2"/>
          </rPr>
          <t>Pour une subvention, mettre des zéros pour les lignes concernant le remboursement</t>
        </r>
      </text>
    </comment>
  </commentList>
</comments>
</file>

<file path=xl/sharedStrings.xml><?xml version="1.0" encoding="utf-8"?>
<sst xmlns="http://schemas.openxmlformats.org/spreadsheetml/2006/main" count="708" uniqueCount="200">
  <si>
    <t>Nom paramètre pour identification</t>
  </si>
  <si>
    <t>Unité de mesure</t>
  </si>
  <si>
    <t>Valeur "type"</t>
  </si>
  <si>
    <t>Valeur min</t>
  </si>
  <si>
    <t>Valeur max</t>
  </si>
  <si>
    <t>Commentaires qualitatifs pour informer l'analyse</t>
  </si>
  <si>
    <t>ha</t>
  </si>
  <si>
    <t>Données de type "fiche technico-économique" d'exploitation; pour une exploitation "type" par type de zone agricole (irriguée/pluvial)</t>
  </si>
  <si>
    <t>Revenus non agricoles</t>
  </si>
  <si>
    <t>Mécanisation</t>
  </si>
  <si>
    <t>Semis</t>
  </si>
  <si>
    <t>Récolte (Heure/Ha)</t>
  </si>
  <si>
    <t xml:space="preserve">Fertilisation </t>
  </si>
  <si>
    <t>Coût de fertilisation</t>
  </si>
  <si>
    <t>Traitement Phytosanitaire</t>
  </si>
  <si>
    <t>Coût Traitement</t>
  </si>
  <si>
    <t>Semences</t>
  </si>
  <si>
    <t>Coût semences</t>
  </si>
  <si>
    <t>Fertilisation</t>
  </si>
  <si>
    <t>Fumier/Compost</t>
  </si>
  <si>
    <t>Tonne /ha</t>
  </si>
  <si>
    <t>Coût de fumier</t>
  </si>
  <si>
    <t>Dinar/ha</t>
  </si>
  <si>
    <t xml:space="preserve">Fertilisant N </t>
  </si>
  <si>
    <t>Kg/ha</t>
  </si>
  <si>
    <t>Coût Fertilisant N</t>
  </si>
  <si>
    <t>Fertilisant P</t>
  </si>
  <si>
    <t>Coût Fertilisant P</t>
  </si>
  <si>
    <t xml:space="preserve">Fertilisant K </t>
  </si>
  <si>
    <t>Coût Fertilisant K</t>
  </si>
  <si>
    <t>Traitements Phytosanitaires</t>
  </si>
  <si>
    <t xml:space="preserve">Fongicide </t>
  </si>
  <si>
    <t>ml, g/ha</t>
  </si>
  <si>
    <t>Coût fongicide</t>
  </si>
  <si>
    <t xml:space="preserve">Herbicide </t>
  </si>
  <si>
    <t>Coût Herbicide</t>
  </si>
  <si>
    <t>Insecticide</t>
  </si>
  <si>
    <t>ml/ha</t>
  </si>
  <si>
    <t>Coût insecticide</t>
  </si>
  <si>
    <t xml:space="preserve">Irrigation </t>
  </si>
  <si>
    <t xml:space="preserve">Eau irrigation </t>
  </si>
  <si>
    <t>m3/ha</t>
  </si>
  <si>
    <t>Coût irrigation (achat d'eau)</t>
  </si>
  <si>
    <t>Main d'œuvre (M.O)</t>
  </si>
  <si>
    <t>Jours/ha</t>
  </si>
  <si>
    <t xml:space="preserve">Certification </t>
  </si>
  <si>
    <t xml:space="preserve">Consultation/conseil </t>
  </si>
  <si>
    <t>Coûts fixes</t>
  </si>
  <si>
    <t>Dinar</t>
  </si>
  <si>
    <t>Assurances</t>
  </si>
  <si>
    <t>Charges Sociales</t>
  </si>
  <si>
    <t>Subventions</t>
  </si>
  <si>
    <t>Prime d'investissement</t>
  </si>
  <si>
    <t>Subvention sur achat de semence</t>
  </si>
  <si>
    <t>Type de culture</t>
  </si>
  <si>
    <t>Main d'oeuvre familiale</t>
  </si>
  <si>
    <t>Permanente salariée</t>
  </si>
  <si>
    <t>Superficie de référence</t>
  </si>
  <si>
    <t>heure/ ha</t>
  </si>
  <si>
    <t>heure/ha</t>
  </si>
  <si>
    <t>Dinar /ha</t>
  </si>
  <si>
    <t>Blé dur</t>
  </si>
  <si>
    <t>Etage bioclimatique</t>
  </si>
  <si>
    <t>Blé tendre</t>
  </si>
  <si>
    <t>-</t>
  </si>
  <si>
    <t>SITUATION ACTUELLE</t>
  </si>
  <si>
    <t>SITUATION AVEC PLUS DE LEGUMINEUSES</t>
  </si>
  <si>
    <t>Orge</t>
  </si>
  <si>
    <t>Coût Semis</t>
  </si>
  <si>
    <t xml:space="preserve">Coût récolte </t>
  </si>
  <si>
    <t>Rendements</t>
  </si>
  <si>
    <t>Prix de la récolte (paille)</t>
  </si>
  <si>
    <t>Prix de la récolte (grains)</t>
  </si>
  <si>
    <t>Coût carburant</t>
  </si>
  <si>
    <t>Redevance annuelle pour l'installation de prise d'eau</t>
  </si>
  <si>
    <t>Redevance pour l'électricité (hors consommation de kWh)</t>
  </si>
  <si>
    <t>Electricité pour l'irrigation</t>
  </si>
  <si>
    <t>Coût électricité pour l'irrigation</t>
  </si>
  <si>
    <t>kWh/ha</t>
  </si>
  <si>
    <t>Tendances d'évolution (ex : augmentation des rendements de xx% sur les xx dernières années)</t>
  </si>
  <si>
    <t>Préparation du sol</t>
  </si>
  <si>
    <t>Chebil (2011) : -6,78% avec le changement climatique d'ici 2030 (moy gouvernorat)</t>
  </si>
  <si>
    <t>Légende :</t>
  </si>
  <si>
    <t>présent</t>
  </si>
  <si>
    <t>surface (ha)</t>
  </si>
  <si>
    <t>Coûts mécanisation / ha</t>
  </si>
  <si>
    <t>Coûts semences  / ha</t>
  </si>
  <si>
    <t>Coûts fertilisation  / ha</t>
  </si>
  <si>
    <t>Coûts traitements phytosanitaires / ha</t>
  </si>
  <si>
    <t>Coûts irrigation / ha</t>
  </si>
  <si>
    <t>Coûts main d'oeuvre / ha</t>
  </si>
  <si>
    <t>Autres coûts / ha</t>
  </si>
  <si>
    <t>Coûts d'exploitation /ha</t>
  </si>
  <si>
    <t>Coûts d'exploitation totaux</t>
  </si>
  <si>
    <t>Marge brute</t>
  </si>
  <si>
    <t>Coûts fixes par culture</t>
  </si>
  <si>
    <t>Revenus bruts par exploitation</t>
  </si>
  <si>
    <t>Marge brute par exploitation</t>
  </si>
  <si>
    <t>Marge nette d'exploitation</t>
  </si>
  <si>
    <t>Année</t>
  </si>
  <si>
    <t>Flux entrants</t>
  </si>
  <si>
    <t>Revenus bruts</t>
  </si>
  <si>
    <t>Flux sortants</t>
  </si>
  <si>
    <t>Coûts du capital travaillant</t>
  </si>
  <si>
    <t>Coûts d'exploitation (variables)</t>
  </si>
  <si>
    <t>Investissement</t>
  </si>
  <si>
    <t>Valeur présente nette (taux intérêts banque)</t>
  </si>
  <si>
    <t>sans financement</t>
  </si>
  <si>
    <t>Règle de décision :</t>
  </si>
  <si>
    <t>TRI</t>
  </si>
  <si>
    <t>si VPN&gt;0 et/ou IRR&gt;taux d'intérêt banques commerciales, le projet est financièrement viable</t>
  </si>
  <si>
    <t>Financement (crédit)</t>
  </si>
  <si>
    <t>Réception de l'argent du prêt</t>
  </si>
  <si>
    <t>à long terme</t>
  </si>
  <si>
    <t>à court terme</t>
  </si>
  <si>
    <t>Remboursement dette</t>
  </si>
  <si>
    <t>remboursement long terme</t>
  </si>
  <si>
    <t>intérêts long terme</t>
  </si>
  <si>
    <t>remboursement court terme</t>
  </si>
  <si>
    <t>intérêts court terme</t>
  </si>
  <si>
    <t>Financement net</t>
  </si>
  <si>
    <t>Bénéfice net additionel avec financement</t>
  </si>
  <si>
    <t>avec financement</t>
  </si>
  <si>
    <t>Superficies totales et répartition des cultures pour une exploitation ou ferme "type"</t>
  </si>
  <si>
    <t>Situation</t>
  </si>
  <si>
    <t>actuelle</t>
  </si>
  <si>
    <t>avec plus de légumineuses</t>
  </si>
  <si>
    <t>Surface d'une ferme (ha)</t>
  </si>
  <si>
    <t>"moyenne"</t>
  </si>
  <si>
    <t>Source:  "La taille moyenne de l’exploitation agricole couvre une superficie de 21,8 ha avec la dominance de la petite et moyenne exploitation agricole, soit 36,7% ayant une superficie comprise entre 0,1 et 5 ha, contre 58,7% disposant une superficie ne dépassant pas les 10 ha. Le parcellement est un phénomène très important avec une moyenne de 5 parcelles par propriété." (Gouvernement de la République tunisienne, 2005, p.2)</t>
  </si>
  <si>
    <t>min</t>
  </si>
  <si>
    <t>max</t>
  </si>
  <si>
    <t>Répartition des surfaces par culture (%) dans chaque étage bioclimatique</t>
  </si>
  <si>
    <t>Céréales</t>
  </si>
  <si>
    <t>Légumineuses alimentaires</t>
  </si>
  <si>
    <t>Fève</t>
  </si>
  <si>
    <t>Lentille</t>
  </si>
  <si>
    <t>Petits pois</t>
  </si>
  <si>
    <t>Pois chiche</t>
  </si>
  <si>
    <t>Légumineuses fourragères</t>
  </si>
  <si>
    <t>Fenugrec</t>
  </si>
  <si>
    <t>Bersim</t>
  </si>
  <si>
    <t>Sulla</t>
  </si>
  <si>
    <t>Vesce</t>
  </si>
  <si>
    <t>Autres cultures</t>
  </si>
  <si>
    <t>…</t>
  </si>
  <si>
    <t>Coût préparation du sol (labour et autres formes de préparation ou retournement du sol…)</t>
  </si>
  <si>
    <r>
      <t>Tendances d'évolution</t>
    </r>
    <r>
      <rPr>
        <sz val="12"/>
        <color theme="1"/>
        <rFont val="Calibri"/>
      </rPr>
      <t xml:space="preserve"> (ex : augmentation des rendements de xx% sur les xx dernières années)</t>
    </r>
  </si>
  <si>
    <t>Autres Coûts</t>
  </si>
  <si>
    <t>Bénéfice net avec plus de légumineuses</t>
  </si>
  <si>
    <t>selon évolution actuelle</t>
  </si>
  <si>
    <t>rendement grains (qx / ha)</t>
  </si>
  <si>
    <t>production grains (qx)</t>
  </si>
  <si>
    <t>avec  plus de légumineuses</t>
  </si>
  <si>
    <t>données à rentrer ou hypothèse à faire sur la valeur</t>
  </si>
  <si>
    <t xml:space="preserve">Taux d'intérêt </t>
  </si>
  <si>
    <t>Banques</t>
  </si>
  <si>
    <t>prêts pour des projets de développement</t>
  </si>
  <si>
    <t>Bénéfice net selon évolution actuelle (avec moins de légumineuses)</t>
  </si>
  <si>
    <t>Tritical</t>
  </si>
  <si>
    <t>Total céréales</t>
  </si>
  <si>
    <t>Féverole</t>
  </si>
  <si>
    <t>Total légumineuses alimentaires et fourragères</t>
  </si>
  <si>
    <t>Tournesol</t>
  </si>
  <si>
    <t>Soja</t>
  </si>
  <si>
    <t>Colza</t>
  </si>
  <si>
    <t>Betterave sucrière</t>
  </si>
  <si>
    <t>Betterave fourragère</t>
  </si>
  <si>
    <t>Betterave graine (pour semencier européens)</t>
  </si>
  <si>
    <t>Total autres cultures</t>
  </si>
  <si>
    <t>Total céréales + légumineuses + autres cultures</t>
  </si>
  <si>
    <t>qx/ha</t>
  </si>
  <si>
    <t>Dinar /ql</t>
  </si>
  <si>
    <t>• chiffres de Salah Lamouchi , Atelier de restitution 26/08/2015
• Atelier validation 29/05/2015: "L’an dernier : 2,5-3 dinars par balle de paille, 800 millimes-1 dinars pour le pressage.  Prix plus fort cette année (jusque 4,5-6 dinars). Une bonne année tous les 3 ans.  "</t>
  </si>
  <si>
    <t>Désherbage mécanique</t>
  </si>
  <si>
    <t>Coût désherbage</t>
  </si>
  <si>
    <t>Occasionnelle salariée</t>
  </si>
  <si>
    <t>Coût main d'oeuvre occasionnelle (M.O.O.) salariée</t>
  </si>
  <si>
    <t>Coût main d'oeuvre permanente (M.O.P.) salariée</t>
  </si>
  <si>
    <t>CEREALES</t>
  </si>
  <si>
    <t>LEGUMINEUSES</t>
  </si>
  <si>
    <t>revenu production paille et autres sous produits (Dinars/ha)</t>
  </si>
  <si>
    <t>Investissement (Dinars / an)</t>
  </si>
  <si>
    <t>Subventions (sur investissement, semences etc)</t>
  </si>
  <si>
    <t>Investissement (eq. annuel)</t>
  </si>
  <si>
    <t>Bénéfice net additionel lié à l'expansion de la culture des légumineuses</t>
  </si>
  <si>
    <t>(pas de données)</t>
  </si>
  <si>
    <t>Coûts variables d'exploitation</t>
  </si>
  <si>
    <t>Humide</t>
  </si>
  <si>
    <t>Chebil (2011) : -2,04% avec le changement climatique d'ici 2030 (moy gouvernorat)
cohérent avec Houmli_2015 09 16 - ELD / Légumineuses_Légumineuses_BN_BS_03 campagnes0001.pdf</t>
  </si>
  <si>
    <t>64,500 dinars/ql dans avec Houmli_2015 09 16 - ELD / Légumineuses_Légumineuses_BN_BS_03 campagnes0001.pdf</t>
  </si>
  <si>
    <t>par hypothèse, pas de maintien des subventions dans le temps</t>
  </si>
  <si>
    <t>Chebil (2011) : -9,62% avec le changement climatique d'ici 2030 (moy gouvernorat)</t>
  </si>
  <si>
    <t>Légumineuses - Fèverole (orge ou blé dur comme précédents culturaux)</t>
  </si>
  <si>
    <t>sources :
• Fourati_2015 09 17 - Fiches technico-économique de féverole_oep jendouba(humide)_Fiche technico-eco Werghi Abderrahmen
• Fourati_2015 09 17 - Fiches technico-économique de féverole_oep jendouba(humide)_Fiche technico-eco Saidi Nourdine
sources :
• Fourati_2015 09 17 - Fiches technico-économique de féverole_oep jendouba(humide)_Fiche technico économique Daboussi Samir
Houmli_2015 09 16 - ELD / Légumineuses_Légumineuses_BN_BS_03 campagnes0001</t>
  </si>
  <si>
    <t>valeurs prises de feve semi-aride pour ne pas avoir un zéro</t>
  </si>
  <si>
    <t>Bénéfice net selon situation actuelle et son évolution</t>
  </si>
  <si>
    <t>Feveroles</t>
  </si>
  <si>
    <t>revenus (Dinars)</t>
  </si>
  <si>
    <t>prix grains (Dinars / ql)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</si>
</sst>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</font>
    <font>
      <sz val="11"/>
      <color theme="1"/>
      <name val="Calibri"/>
      <family val="2"/>
      <scheme val="minor"/>
    </font>
    <font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</font>
    <font>
      <b/>
      <sz val="12"/>
      <color theme="9" tint="-0.249977111117893"/>
      <name val="Calibri"/>
    </font>
    <font>
      <sz val="12"/>
      <color rgb="FFFF0000"/>
      <name val="Calibri"/>
    </font>
    <font>
      <sz val="12"/>
      <name val="Calibri"/>
    </font>
    <font>
      <b/>
      <sz val="12"/>
      <name val="Calibri"/>
    </font>
    <font>
      <sz val="12"/>
      <color theme="7" tint="-0.249977111117893"/>
      <name val="Calibri"/>
    </font>
    <font>
      <sz val="10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b/>
      <sz val="10"/>
      <name val="Arial"/>
    </font>
    <font>
      <sz val="10"/>
      <color rgb="FFFF0000"/>
      <name val="Arial"/>
    </font>
    <font>
      <b/>
      <sz val="10"/>
      <color rgb="FF008000"/>
      <name val="Arial"/>
    </font>
    <font>
      <b/>
      <i/>
      <sz val="12"/>
      <color theme="1"/>
      <name val="Calibri"/>
    </font>
    <font>
      <b/>
      <sz val="12"/>
      <color rgb="FFFF0000"/>
      <name val="Calibri"/>
    </font>
    <font>
      <b/>
      <sz val="9"/>
      <color indexed="81"/>
      <name val="Calibri"/>
      <family val="2"/>
    </font>
    <font>
      <b/>
      <sz val="10"/>
      <color rgb="FFFF0000"/>
      <name val="Arial"/>
    </font>
    <font>
      <b/>
      <sz val="10"/>
      <color theme="0" tint="-0.34998626667073579"/>
      <name val="Arial"/>
    </font>
    <font>
      <sz val="10"/>
      <color theme="0" tint="-0.34998626667073579"/>
      <name val="Arial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BF1DE"/>
        <bgColor rgb="FF000000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38">
    <xf numFmtId="0" fontId="0" fillId="0" borderId="0"/>
    <xf numFmtId="9" fontId="3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5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9" fillId="0" borderId="0" xfId="0" applyFont="1" applyFill="1" applyAlignment="1"/>
    <xf numFmtId="0" fontId="4" fillId="3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4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 wrapText="1"/>
    </xf>
    <xf numFmtId="9" fontId="13" fillId="3" borderId="3" xfId="0" applyNumberFormat="1" applyFont="1" applyFill="1" applyBorder="1" applyAlignment="1">
      <alignment horizontal="right" vertical="center" wrapText="1"/>
    </xf>
    <xf numFmtId="9" fontId="12" fillId="3" borderId="5" xfId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vertical="center" wrapText="1"/>
    </xf>
    <xf numFmtId="0" fontId="15" fillId="0" borderId="13" xfId="0" applyFont="1" applyBorder="1"/>
    <xf numFmtId="0" fontId="15" fillId="0" borderId="0" xfId="0" applyFont="1"/>
    <xf numFmtId="0" fontId="16" fillId="0" borderId="0" xfId="0" applyFont="1"/>
    <xf numFmtId="0" fontId="17" fillId="0" borderId="0" xfId="2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6" fillId="4" borderId="0" xfId="2" applyFont="1" applyFill="1"/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13" xfId="0" applyFont="1" applyFill="1" applyBorder="1"/>
    <xf numFmtId="0" fontId="15" fillId="0" borderId="17" xfId="0" applyFont="1" applyBorder="1"/>
    <xf numFmtId="0" fontId="16" fillId="0" borderId="0" xfId="0" applyFont="1" applyFill="1"/>
    <xf numFmtId="0" fontId="15" fillId="0" borderId="13" xfId="0" applyFont="1" applyFill="1" applyBorder="1" applyAlignment="1">
      <alignment wrapText="1"/>
    </xf>
    <xf numFmtId="0" fontId="15" fillId="0" borderId="13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8" fillId="0" borderId="13" xfId="0" applyFont="1" applyBorder="1"/>
    <xf numFmtId="0" fontId="15" fillId="0" borderId="17" xfId="0" applyFont="1" applyBorder="1" applyAlignment="1">
      <alignment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5" fillId="0" borderId="15" xfId="0" applyFont="1" applyFill="1" applyBorder="1" applyAlignment="1">
      <alignment horizontal="right"/>
    </xf>
    <xf numFmtId="0" fontId="15" fillId="0" borderId="19" xfId="0" applyFont="1" applyFill="1" applyBorder="1" applyAlignment="1">
      <alignment horizontal="center"/>
    </xf>
    <xf numFmtId="0" fontId="18" fillId="0" borderId="13" xfId="0" applyFont="1" applyFill="1" applyBorder="1"/>
    <xf numFmtId="0" fontId="15" fillId="0" borderId="21" xfId="0" applyFont="1" applyFill="1" applyBorder="1"/>
    <xf numFmtId="0" fontId="15" fillId="0" borderId="13" xfId="0" applyFont="1" applyFill="1" applyBorder="1" applyAlignment="1">
      <alignment horizontal="left" vertical="center" wrapText="1" indent="1"/>
    </xf>
    <xf numFmtId="4" fontId="15" fillId="0" borderId="21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5" fillId="0" borderId="13" xfId="0" applyFont="1" applyFill="1" applyBorder="1" applyAlignment="1">
      <alignment horizontal="left" wrapText="1" indent="1"/>
    </xf>
    <xf numFmtId="4" fontId="15" fillId="0" borderId="21" xfId="0" applyNumberFormat="1" applyFont="1" applyFill="1" applyBorder="1"/>
    <xf numFmtId="0" fontId="15" fillId="0" borderId="15" xfId="0" applyFont="1" applyFill="1" applyBorder="1" applyAlignment="1">
      <alignment horizontal="left" wrapText="1" indent="1"/>
    </xf>
    <xf numFmtId="2" fontId="15" fillId="0" borderId="19" xfId="0" applyNumberFormat="1" applyFont="1" applyFill="1" applyBorder="1"/>
    <xf numFmtId="2" fontId="15" fillId="0" borderId="21" xfId="0" applyNumberFormat="1" applyFont="1" applyFill="1" applyBorder="1"/>
    <xf numFmtId="4" fontId="18" fillId="0" borderId="21" xfId="0" applyNumberFormat="1" applyFont="1" applyFill="1" applyBorder="1"/>
    <xf numFmtId="0" fontId="17" fillId="0" borderId="0" xfId="0" applyFont="1" applyFill="1"/>
    <xf numFmtId="0" fontId="16" fillId="0" borderId="13" xfId="0" applyFont="1" applyFill="1" applyBorder="1"/>
    <xf numFmtId="0" fontId="16" fillId="0" borderId="21" xfId="0" applyFont="1" applyFill="1" applyBorder="1"/>
    <xf numFmtId="2" fontId="16" fillId="0" borderId="0" xfId="0" applyNumberFormat="1" applyFont="1" applyFill="1"/>
    <xf numFmtId="4" fontId="15" fillId="0" borderId="19" xfId="0" applyNumberFormat="1" applyFont="1" applyFill="1" applyBorder="1"/>
    <xf numFmtId="0" fontId="16" fillId="0" borderId="0" xfId="0" applyFont="1" applyFill="1" applyBorder="1"/>
    <xf numFmtId="0" fontId="15" fillId="0" borderId="13" xfId="0" applyFont="1" applyFill="1" applyBorder="1" applyAlignment="1">
      <alignment horizontal="left" wrapText="1"/>
    </xf>
    <xf numFmtId="4" fontId="16" fillId="0" borderId="21" xfId="0" applyNumberFormat="1" applyFont="1" applyFill="1" applyBorder="1"/>
    <xf numFmtId="4" fontId="16" fillId="0" borderId="0" xfId="0" applyNumberFormat="1" applyFont="1" applyFill="1"/>
    <xf numFmtId="0" fontId="17" fillId="0" borderId="0" xfId="0" applyFont="1" applyFill="1" applyAlignment="1">
      <alignment horizontal="left" wrapText="1"/>
    </xf>
    <xf numFmtId="4" fontId="17" fillId="0" borderId="0" xfId="0" applyNumberFormat="1" applyFont="1" applyFill="1"/>
    <xf numFmtId="0" fontId="17" fillId="0" borderId="0" xfId="0" applyFont="1" applyFill="1" applyAlignment="1">
      <alignment horizontal="left"/>
    </xf>
    <xf numFmtId="0" fontId="20" fillId="0" borderId="0" xfId="0" applyFont="1" applyFill="1" applyAlignment="1">
      <alignment vertical="center"/>
    </xf>
    <xf numFmtId="9" fontId="17" fillId="0" borderId="0" xfId="0" applyNumberFormat="1" applyFont="1" applyFill="1"/>
    <xf numFmtId="0" fontId="18" fillId="0" borderId="13" xfId="0" applyFont="1" applyFill="1" applyBorder="1" applyAlignment="1">
      <alignment wrapText="1"/>
    </xf>
    <xf numFmtId="0" fontId="9" fillId="0" borderId="0" xfId="2" applyFont="1"/>
    <xf numFmtId="0" fontId="4" fillId="3" borderId="25" xfId="2" applyFont="1" applyFill="1" applyBorder="1" applyAlignment="1">
      <alignment horizontal="center" vertical="center" wrapText="1"/>
    </xf>
    <xf numFmtId="0" fontId="4" fillId="4" borderId="25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9" fillId="0" borderId="12" xfId="2" applyFont="1" applyBorder="1" applyAlignment="1">
      <alignment horizontal="right"/>
    </xf>
    <xf numFmtId="0" fontId="9" fillId="3" borderId="26" xfId="2" applyFont="1" applyFill="1" applyBorder="1"/>
    <xf numFmtId="0" fontId="9" fillId="4" borderId="26" xfId="2" applyFont="1" applyFill="1" applyBorder="1"/>
    <xf numFmtId="0" fontId="9" fillId="0" borderId="0" xfId="2" applyFont="1" applyAlignment="1">
      <alignment horizontal="left" vertical="center"/>
    </xf>
    <xf numFmtId="0" fontId="9" fillId="0" borderId="12" xfId="2" applyFont="1" applyBorder="1"/>
    <xf numFmtId="0" fontId="9" fillId="0" borderId="12" xfId="2" applyFont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4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wrapText="1"/>
    </xf>
    <xf numFmtId="0" fontId="4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vertical="center"/>
    </xf>
    <xf numFmtId="2" fontId="15" fillId="0" borderId="13" xfId="0" applyNumberFormat="1" applyFont="1" applyFill="1" applyBorder="1" applyAlignment="1">
      <alignment vertical="center"/>
    </xf>
    <xf numFmtId="0" fontId="16" fillId="4" borderId="0" xfId="0" applyFont="1" applyFill="1"/>
    <xf numFmtId="0" fontId="17" fillId="0" borderId="0" xfId="0" applyFont="1"/>
    <xf numFmtId="9" fontId="16" fillId="4" borderId="0" xfId="0" applyNumberFormat="1" applyFont="1" applyFill="1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/>
    </xf>
    <xf numFmtId="1" fontId="18" fillId="0" borderId="0" xfId="0" applyNumberFormat="1" applyFont="1" applyFill="1"/>
    <xf numFmtId="9" fontId="16" fillId="0" borderId="0" xfId="0" applyNumberFormat="1" applyFont="1"/>
    <xf numFmtId="9" fontId="9" fillId="4" borderId="26" xfId="1" applyNumberFormat="1" applyFont="1" applyFill="1" applyBorder="1"/>
    <xf numFmtId="0" fontId="12" fillId="0" borderId="5" xfId="0" applyFont="1" applyFill="1" applyBorder="1" applyAlignment="1">
      <alignment horizontal="center" vertical="center"/>
    </xf>
    <xf numFmtId="9" fontId="12" fillId="4" borderId="26" xfId="1" applyNumberFormat="1" applyFont="1" applyFill="1" applyBorder="1"/>
    <xf numFmtId="0" fontId="9" fillId="5" borderId="12" xfId="2" applyFont="1" applyFill="1" applyBorder="1"/>
    <xf numFmtId="0" fontId="21" fillId="0" borderId="27" xfId="0" applyFont="1" applyFill="1" applyBorder="1" applyAlignment="1">
      <alignment horizontal="right" vertical="center" wrapText="1"/>
    </xf>
    <xf numFmtId="0" fontId="9" fillId="5" borderId="12" xfId="2" applyFont="1" applyFill="1" applyBorder="1" applyAlignment="1">
      <alignment wrapText="1"/>
    </xf>
    <xf numFmtId="0" fontId="4" fillId="5" borderId="2" xfId="0" applyFont="1" applyFill="1" applyBorder="1" applyAlignment="1">
      <alignment vertical="center" wrapText="1"/>
    </xf>
    <xf numFmtId="9" fontId="4" fillId="5" borderId="3" xfId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9" fillId="0" borderId="0" xfId="2" applyFont="1" applyAlignment="1">
      <alignment horizontal="left"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9" fontId="12" fillId="3" borderId="26" xfId="1" applyNumberFormat="1" applyFont="1" applyFill="1" applyBorder="1"/>
    <xf numFmtId="9" fontId="12" fillId="5" borderId="26" xfId="1" applyNumberFormat="1" applyFont="1" applyFill="1" applyBorder="1"/>
    <xf numFmtId="9" fontId="21" fillId="3" borderId="27" xfId="1" applyNumberFormat="1" applyFont="1" applyFill="1" applyBorder="1" applyAlignment="1">
      <alignment horizontal="center" vertical="center" wrapText="1"/>
    </xf>
    <xf numFmtId="9" fontId="21" fillId="4" borderId="27" xfId="1" applyNumberFormat="1" applyFont="1" applyFill="1" applyBorder="1" applyAlignment="1">
      <alignment horizontal="center" vertical="center" wrapText="1"/>
    </xf>
    <xf numFmtId="9" fontId="9" fillId="3" borderId="26" xfId="1" applyNumberFormat="1" applyFont="1" applyFill="1" applyBorder="1"/>
    <xf numFmtId="9" fontId="9" fillId="5" borderId="26" xfId="1" applyNumberFormat="1" applyFont="1" applyFill="1" applyBorder="1"/>
    <xf numFmtId="9" fontId="4" fillId="3" borderId="27" xfId="1" applyNumberFormat="1" applyFont="1" applyFill="1" applyBorder="1" applyAlignment="1">
      <alignment horizontal="center" vertical="center" wrapText="1"/>
    </xf>
    <xf numFmtId="9" fontId="4" fillId="4" borderId="27" xfId="1" applyNumberFormat="1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right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right" vertical="center"/>
    </xf>
    <xf numFmtId="9" fontId="22" fillId="3" borderId="3" xfId="0" applyNumberFormat="1" applyFont="1" applyFill="1" applyBorder="1" applyAlignment="1">
      <alignment horizontal="right" vertical="center" wrapText="1"/>
    </xf>
    <xf numFmtId="9" fontId="11" fillId="3" borderId="5" xfId="151" applyFont="1" applyFill="1" applyBorder="1" applyAlignment="1">
      <alignment horizontal="right" vertical="center"/>
    </xf>
    <xf numFmtId="0" fontId="18" fillId="0" borderId="0" xfId="0" applyFont="1"/>
    <xf numFmtId="0" fontId="15" fillId="0" borderId="13" xfId="0" applyFont="1" applyBorder="1" applyAlignment="1">
      <alignment wrapText="1"/>
    </xf>
    <xf numFmtId="2" fontId="15" fillId="4" borderId="13" xfId="0" applyNumberFormat="1" applyFont="1" applyFill="1" applyBorder="1" applyAlignment="1">
      <alignment vertical="center"/>
    </xf>
    <xf numFmtId="2" fontId="15" fillId="4" borderId="0" xfId="0" applyNumberFormat="1" applyFont="1" applyFill="1" applyAlignment="1">
      <alignment vertical="center"/>
    </xf>
    <xf numFmtId="2" fontId="19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2" fontId="15" fillId="0" borderId="13" xfId="0" applyNumberFormat="1" applyFont="1" applyBorder="1" applyAlignment="1">
      <alignment vertical="center"/>
    </xf>
    <xf numFmtId="164" fontId="15" fillId="4" borderId="0" xfId="0" applyNumberFormat="1" applyFont="1" applyFill="1" applyAlignment="1">
      <alignment vertical="center"/>
    </xf>
    <xf numFmtId="164" fontId="15" fillId="0" borderId="0" xfId="0" applyNumberFormat="1" applyFont="1" applyFill="1" applyAlignment="1">
      <alignment vertical="center"/>
    </xf>
    <xf numFmtId="164" fontId="15" fillId="4" borderId="13" xfId="0" applyNumberFormat="1" applyFont="1" applyFill="1" applyBorder="1" applyAlignment="1">
      <alignment vertical="center"/>
    </xf>
    <xf numFmtId="164" fontId="15" fillId="5" borderId="0" xfId="0" applyNumberFormat="1" applyFont="1" applyFill="1" applyAlignment="1">
      <alignment vertical="center"/>
    </xf>
    <xf numFmtId="164" fontId="15" fillId="5" borderId="13" xfId="0" applyNumberFormat="1" applyFont="1" applyFill="1" applyBorder="1" applyAlignment="1">
      <alignment vertical="center"/>
    </xf>
    <xf numFmtId="164" fontId="15" fillId="0" borderId="18" xfId="0" applyNumberFormat="1" applyFont="1" applyFill="1" applyBorder="1" applyAlignment="1">
      <alignment vertical="center"/>
    </xf>
    <xf numFmtId="164" fontId="15" fillId="0" borderId="17" xfId="0" applyNumberFormat="1" applyFont="1" applyFill="1" applyBorder="1" applyAlignment="1">
      <alignment vertical="center"/>
    </xf>
    <xf numFmtId="164" fontId="15" fillId="0" borderId="13" xfId="0" applyNumberFormat="1" applyFont="1" applyFill="1" applyBorder="1" applyAlignment="1">
      <alignment vertical="center"/>
    </xf>
    <xf numFmtId="164" fontId="18" fillId="0" borderId="0" xfId="0" applyNumberFormat="1" applyFont="1" applyFill="1" applyAlignment="1">
      <alignment vertical="center"/>
    </xf>
    <xf numFmtId="164" fontId="18" fillId="0" borderId="13" xfId="0" applyNumberFormat="1" applyFont="1" applyFill="1" applyBorder="1" applyAlignment="1">
      <alignment vertical="center"/>
    </xf>
    <xf numFmtId="164" fontId="15" fillId="0" borderId="21" xfId="0" applyNumberFormat="1" applyFont="1" applyFill="1" applyBorder="1" applyAlignment="1">
      <alignment horizontal="right" vertical="center"/>
    </xf>
    <xf numFmtId="164" fontId="15" fillId="0" borderId="22" xfId="0" applyNumberFormat="1" applyFont="1" applyFill="1" applyBorder="1" applyAlignment="1">
      <alignment horizontal="right" vertical="center"/>
    </xf>
    <xf numFmtId="164" fontId="15" fillId="0" borderId="19" xfId="0" applyNumberFormat="1" applyFont="1" applyFill="1" applyBorder="1" applyAlignment="1">
      <alignment horizontal="right" vertical="center"/>
    </xf>
    <xf numFmtId="164" fontId="15" fillId="0" borderId="20" xfId="0" applyNumberFormat="1" applyFont="1" applyFill="1" applyBorder="1" applyAlignment="1">
      <alignment horizontal="right" vertical="center"/>
    </xf>
    <xf numFmtId="164" fontId="18" fillId="0" borderId="21" xfId="0" applyNumberFormat="1" applyFont="1" applyFill="1" applyBorder="1" applyAlignment="1">
      <alignment vertical="center"/>
    </xf>
    <xf numFmtId="164" fontId="18" fillId="0" borderId="22" xfId="0" applyNumberFormat="1" applyFont="1" applyFill="1" applyBorder="1" applyAlignment="1">
      <alignment vertical="center"/>
    </xf>
    <xf numFmtId="164" fontId="15" fillId="0" borderId="23" xfId="0" applyNumberFormat="1" applyFont="1" applyFill="1" applyBorder="1" applyAlignment="1">
      <alignment horizontal="right" vertical="center"/>
    </xf>
    <xf numFmtId="165" fontId="15" fillId="4" borderId="0" xfId="0" applyNumberFormat="1" applyFont="1" applyFill="1" applyAlignment="1">
      <alignment vertical="center"/>
    </xf>
    <xf numFmtId="165" fontId="18" fillId="0" borderId="0" xfId="0" applyNumberFormat="1" applyFont="1" applyFill="1" applyAlignment="1">
      <alignment vertical="center"/>
    </xf>
    <xf numFmtId="165" fontId="15" fillId="4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Alignment="1">
      <alignment vertical="center"/>
    </xf>
    <xf numFmtId="0" fontId="15" fillId="0" borderId="0" xfId="0" applyFont="1" applyFill="1"/>
    <xf numFmtId="164" fontId="15" fillId="4" borderId="17" xfId="0" applyNumberFormat="1" applyFont="1" applyFill="1" applyBorder="1" applyAlignment="1">
      <alignment vertical="center"/>
    </xf>
    <xf numFmtId="164" fontId="15" fillId="4" borderId="18" xfId="0" applyNumberFormat="1" applyFont="1" applyFill="1" applyBorder="1" applyAlignment="1">
      <alignment vertical="center"/>
    </xf>
    <xf numFmtId="164" fontId="18" fillId="0" borderId="18" xfId="0" applyNumberFormat="1" applyFont="1" applyFill="1" applyBorder="1" applyAlignment="1">
      <alignment vertical="center"/>
    </xf>
    <xf numFmtId="164" fontId="18" fillId="4" borderId="18" xfId="0" applyNumberFormat="1" applyFont="1" applyFill="1" applyBorder="1" applyAlignment="1">
      <alignment vertical="center"/>
    </xf>
    <xf numFmtId="164" fontId="18" fillId="4" borderId="17" xfId="0" applyNumberFormat="1" applyFont="1" applyFill="1" applyBorder="1" applyAlignment="1">
      <alignment vertical="center"/>
    </xf>
    <xf numFmtId="0" fontId="18" fillId="0" borderId="17" xfId="0" applyFont="1" applyBorder="1" applyAlignment="1">
      <alignment horizontal="left" vertical="top" wrapText="1"/>
    </xf>
    <xf numFmtId="4" fontId="18" fillId="0" borderId="21" xfId="0" applyNumberFormat="1" applyFont="1" applyFill="1" applyBorder="1" applyAlignment="1">
      <alignment vertical="center" wrapText="1"/>
    </xf>
    <xf numFmtId="4" fontId="15" fillId="4" borderId="21" xfId="0" applyNumberFormat="1" applyFont="1" applyFill="1" applyBorder="1"/>
    <xf numFmtId="4" fontId="15" fillId="4" borderId="21" xfId="0" applyNumberFormat="1" applyFont="1" applyFill="1" applyBorder="1" applyAlignment="1">
      <alignment vertical="center" wrapText="1"/>
    </xf>
    <xf numFmtId="0" fontId="24" fillId="0" borderId="0" xfId="0" applyFont="1" applyFill="1"/>
    <xf numFmtId="0" fontId="25" fillId="0" borderId="0" xfId="0" applyFont="1" applyFill="1"/>
    <xf numFmtId="0" fontId="25" fillId="0" borderId="13" xfId="0" applyFont="1" applyFill="1" applyBorder="1"/>
    <xf numFmtId="0" fontId="26" fillId="0" borderId="13" xfId="0" applyFont="1" applyFill="1" applyBorder="1" applyAlignment="1">
      <alignment horizontal="left" indent="1"/>
    </xf>
    <xf numFmtId="0" fontId="26" fillId="0" borderId="13" xfId="0" applyFont="1" applyFill="1" applyBorder="1" applyAlignment="1">
      <alignment horizontal="left" vertical="center" wrapText="1" indent="1"/>
    </xf>
    <xf numFmtId="0" fontId="25" fillId="0" borderId="17" xfId="0" applyFont="1" applyFill="1" applyBorder="1"/>
    <xf numFmtId="0" fontId="26" fillId="0" borderId="0" xfId="0" applyFont="1" applyFill="1"/>
    <xf numFmtId="0" fontId="25" fillId="0" borderId="13" xfId="0" applyFont="1" applyFill="1" applyBorder="1" applyAlignment="1">
      <alignment wrapText="1"/>
    </xf>
    <xf numFmtId="0" fontId="25" fillId="0" borderId="0" xfId="0" applyFont="1" applyFill="1" applyAlignment="1">
      <alignment horizontal="left" wrapText="1"/>
    </xf>
    <xf numFmtId="4" fontId="25" fillId="0" borderId="21" xfId="0" applyNumberFormat="1" applyFont="1" applyFill="1" applyBorder="1"/>
    <xf numFmtId="4" fontId="25" fillId="0" borderId="24" xfId="0" applyNumberFormat="1" applyFont="1" applyFill="1" applyBorder="1"/>
    <xf numFmtId="4" fontId="25" fillId="0" borderId="0" xfId="0" applyNumberFormat="1" applyFont="1" applyFill="1"/>
    <xf numFmtId="9" fontId="25" fillId="0" borderId="0" xfId="0" applyNumberFormat="1" applyFont="1" applyFill="1"/>
    <xf numFmtId="0" fontId="25" fillId="0" borderId="0" xfId="0" applyFont="1" applyFill="1" applyAlignment="1">
      <alignment horizontal="left"/>
    </xf>
    <xf numFmtId="4" fontId="19" fillId="0" borderId="21" xfId="0" applyNumberFormat="1" applyFont="1" applyFill="1" applyBorder="1"/>
    <xf numFmtId="9" fontId="12" fillId="7" borderId="26" xfId="0" applyNumberFormat="1" applyFont="1" applyFill="1" applyBorder="1"/>
    <xf numFmtId="9" fontId="4" fillId="3" borderId="3" xfId="1" applyFont="1" applyFill="1" applyBorder="1" applyAlignment="1">
      <alignment horizontal="center" vertical="center" wrapText="1"/>
    </xf>
    <xf numFmtId="9" fontId="4" fillId="4" borderId="3" xfId="1" applyFont="1" applyFill="1" applyBorder="1" applyAlignment="1">
      <alignment horizontal="center" vertical="center" wrapText="1"/>
    </xf>
    <xf numFmtId="9" fontId="9" fillId="5" borderId="26" xfId="1" applyFont="1" applyFill="1" applyBorder="1"/>
    <xf numFmtId="0" fontId="14" fillId="3" borderId="14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</cellXfs>
  <cellStyles count="338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Normal" xfId="0" builtinId="0"/>
    <cellStyle name="Normal 2" xfId="2"/>
    <cellStyle name="Percent" xfId="1" builtinId="5"/>
    <cellStyle name="Percent 2" xfId="13"/>
    <cellStyle name="Percent 3" xfId="150"/>
    <cellStyle name="Percent 4" xfId="15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G19"/>
  <sheetViews>
    <sheetView workbookViewId="0">
      <selection activeCell="A8" sqref="A8"/>
    </sheetView>
  </sheetViews>
  <sheetFormatPr baseColWidth="10" defaultRowHeight="12" x14ac:dyDescent="0"/>
  <cols>
    <col min="1" max="1" width="19.83203125" style="60" customWidth="1"/>
    <col min="2" max="3" width="10.83203125" style="60"/>
    <col min="4" max="4" width="12.33203125" style="60" customWidth="1"/>
    <col min="5" max="16384" width="10.83203125" style="60"/>
  </cols>
  <sheetData>
    <row r="1" spans="1:7">
      <c r="D1" s="61" t="s">
        <v>82</v>
      </c>
    </row>
    <row r="2" spans="1:7">
      <c r="D2" s="67" t="s">
        <v>154</v>
      </c>
      <c r="E2" s="145"/>
      <c r="F2" s="145"/>
      <c r="G2" s="145"/>
    </row>
    <row r="4" spans="1:7">
      <c r="A4" s="146" t="s">
        <v>155</v>
      </c>
    </row>
    <row r="5" spans="1:7">
      <c r="A5" s="60" t="s">
        <v>156</v>
      </c>
      <c r="B5" s="147">
        <v>0.1</v>
      </c>
    </row>
    <row r="6" spans="1:7" ht="24">
      <c r="A6" s="148" t="s">
        <v>157</v>
      </c>
    </row>
    <row r="7" spans="1:7">
      <c r="A7" s="149" t="s">
        <v>113</v>
      </c>
      <c r="B7" s="147">
        <v>0.05</v>
      </c>
    </row>
    <row r="8" spans="1:7">
      <c r="A8" s="149" t="s">
        <v>198</v>
      </c>
      <c r="B8" s="147">
        <v>0.08</v>
      </c>
    </row>
    <row r="12" spans="1:7">
      <c r="D12" s="150"/>
    </row>
    <row r="19" spans="2:2">
      <c r="B19" s="15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E37"/>
  <sheetViews>
    <sheetView workbookViewId="0">
      <selection activeCell="B18" sqref="B18"/>
    </sheetView>
  </sheetViews>
  <sheetFormatPr baseColWidth="10" defaultRowHeight="15" x14ac:dyDescent="0"/>
  <cols>
    <col min="1" max="1" width="33.1640625" style="113" customWidth="1"/>
    <col min="2" max="3" width="12.6640625" style="113" customWidth="1"/>
    <col min="4" max="4" width="10.83203125" style="113"/>
    <col min="5" max="5" width="11.83203125" style="113" bestFit="1" customWidth="1"/>
    <col min="6" max="16384" width="10.83203125" style="113"/>
  </cols>
  <sheetData>
    <row r="1" spans="1:5" s="1" customFormat="1">
      <c r="A1" s="2" t="s">
        <v>123</v>
      </c>
    </row>
    <row r="2" spans="1:5" ht="16" thickBot="1"/>
    <row r="3" spans="1:5">
      <c r="A3" s="15" t="s">
        <v>62</v>
      </c>
      <c r="B3" s="253" t="s">
        <v>188</v>
      </c>
      <c r="C3" s="254"/>
    </row>
    <row r="4" spans="1:5" s="116" customFormat="1" ht="31" thickBot="1">
      <c r="A4" s="20" t="s">
        <v>124</v>
      </c>
      <c r="B4" s="114" t="s">
        <v>125</v>
      </c>
      <c r="C4" s="115" t="s">
        <v>126</v>
      </c>
    </row>
    <row r="5" spans="1:5" s="9" customFormat="1" ht="16" thickBot="1">
      <c r="A5" s="10" t="s">
        <v>127</v>
      </c>
      <c r="B5" s="14"/>
      <c r="C5" s="117"/>
    </row>
    <row r="6" spans="1:5">
      <c r="A6" s="118" t="s">
        <v>128</v>
      </c>
      <c r="B6" s="119">
        <v>3</v>
      </c>
      <c r="C6" s="120">
        <f>B6</f>
        <v>3</v>
      </c>
      <c r="D6" s="161" t="s">
        <v>129</v>
      </c>
    </row>
    <row r="7" spans="1:5">
      <c r="A7" s="118" t="s">
        <v>130</v>
      </c>
      <c r="B7" s="119">
        <v>1</v>
      </c>
      <c r="C7" s="120">
        <f>B7</f>
        <v>1</v>
      </c>
    </row>
    <row r="8" spans="1:5" ht="16" thickBot="1">
      <c r="A8" s="118" t="s">
        <v>131</v>
      </c>
      <c r="B8" s="119">
        <v>10</v>
      </c>
      <c r="C8" s="120">
        <f>B8</f>
        <v>10</v>
      </c>
    </row>
    <row r="9" spans="1:5" s="9" customFormat="1" ht="31" thickBot="1">
      <c r="A9" s="10" t="s">
        <v>132</v>
      </c>
      <c r="B9" s="14"/>
      <c r="C9" s="117"/>
      <c r="D9" s="121"/>
      <c r="E9" s="113"/>
    </row>
    <row r="10" spans="1:5" s="9" customFormat="1" ht="16" thickBot="1">
      <c r="A10" s="10" t="s">
        <v>133</v>
      </c>
      <c r="B10" s="14"/>
      <c r="C10" s="117"/>
    </row>
    <row r="11" spans="1:5">
      <c r="A11" s="122" t="s">
        <v>61</v>
      </c>
      <c r="B11" s="171">
        <f>6%/56.98*100/2</f>
        <v>5.2650052650052653E-2</v>
      </c>
      <c r="C11" s="154">
        <f>B11-2%</f>
        <v>3.2650052650052649E-2</v>
      </c>
    </row>
    <row r="12" spans="1:5">
      <c r="A12" s="122" t="s">
        <v>63</v>
      </c>
      <c r="B12" s="171">
        <f>1%/56.98*100/2</f>
        <v>8.7750087750087767E-3</v>
      </c>
      <c r="C12" s="154">
        <f>B12</f>
        <v>8.7750087750087767E-3</v>
      </c>
    </row>
    <row r="13" spans="1:5">
      <c r="A13" s="122" t="s">
        <v>67</v>
      </c>
      <c r="B13" s="171">
        <f>3%/56.98*100/2</f>
        <v>2.6325026325026327E-2</v>
      </c>
      <c r="C13" s="245">
        <f>B13-1%</f>
        <v>1.6325026325026325E-2</v>
      </c>
    </row>
    <row r="14" spans="1:5" ht="16" thickBot="1">
      <c r="A14" s="155" t="s">
        <v>159</v>
      </c>
      <c r="B14" s="172">
        <f>13%/56.98*100/2</f>
        <v>0.1140751140751141</v>
      </c>
      <c r="C14" s="172">
        <f>B14</f>
        <v>0.1140751140751141</v>
      </c>
    </row>
    <row r="15" spans="1:5" ht="16" thickBot="1">
      <c r="A15" s="156" t="s">
        <v>160</v>
      </c>
      <c r="B15" s="173">
        <f t="shared" ref="B15:C15" si="0">SUM(B11:B14)</f>
        <v>0.20182520182520186</v>
      </c>
      <c r="C15" s="174">
        <f t="shared" si="0"/>
        <v>0.17182520182520186</v>
      </c>
    </row>
    <row r="16" spans="1:5" s="9" customFormat="1" ht="16" thickBot="1">
      <c r="A16" s="10" t="s">
        <v>134</v>
      </c>
      <c r="B16" s="246"/>
      <c r="C16" s="247"/>
    </row>
    <row r="17" spans="1:5">
      <c r="A17" s="123" t="s">
        <v>135</v>
      </c>
      <c r="B17" s="176"/>
      <c r="C17" s="176"/>
    </row>
    <row r="18" spans="1:5">
      <c r="A18" s="123" t="s">
        <v>161</v>
      </c>
      <c r="B18" s="175">
        <f>20/400</f>
        <v>0.05</v>
      </c>
      <c r="C18" s="152">
        <f>2/15/2</f>
        <v>6.6666666666666666E-2</v>
      </c>
    </row>
    <row r="19" spans="1:5">
      <c r="A19" s="157" t="s">
        <v>136</v>
      </c>
      <c r="B19" s="176"/>
      <c r="C19" s="176"/>
    </row>
    <row r="20" spans="1:5">
      <c r="A20" s="123" t="s">
        <v>137</v>
      </c>
      <c r="B20" s="175">
        <f>C20/3</f>
        <v>8.7301587301587269E-3</v>
      </c>
      <c r="C20" s="152">
        <f>3/7/3-C18-5%</f>
        <v>2.6190476190476181E-2</v>
      </c>
    </row>
    <row r="21" spans="1:5" ht="16" thickBot="1">
      <c r="A21" s="123" t="s">
        <v>138</v>
      </c>
      <c r="B21" s="176"/>
      <c r="C21" s="176"/>
    </row>
    <row r="22" spans="1:5" s="9" customFormat="1" ht="16" thickBot="1">
      <c r="A22" s="10" t="s">
        <v>139</v>
      </c>
      <c r="B22" s="246"/>
      <c r="C22" s="247"/>
    </row>
    <row r="23" spans="1:5">
      <c r="A23" s="157" t="s">
        <v>141</v>
      </c>
      <c r="B23" s="248"/>
      <c r="C23" s="248"/>
    </row>
    <row r="24" spans="1:5">
      <c r="A24" s="157" t="s">
        <v>140</v>
      </c>
      <c r="B24" s="248">
        <v>0</v>
      </c>
      <c r="C24" s="248">
        <v>0</v>
      </c>
    </row>
    <row r="25" spans="1:5">
      <c r="A25" s="157" t="s">
        <v>142</v>
      </c>
      <c r="B25" s="176"/>
      <c r="C25" s="176"/>
    </row>
    <row r="26" spans="1:5" ht="16" thickBot="1">
      <c r="A26" s="157" t="s">
        <v>143</v>
      </c>
      <c r="B26" s="176"/>
      <c r="C26" s="176"/>
    </row>
    <row r="27" spans="1:5" s="9" customFormat="1" ht="31" thickBot="1">
      <c r="A27" s="156" t="s">
        <v>162</v>
      </c>
      <c r="B27" s="173">
        <f>SUM(B17:B26)</f>
        <v>5.873015873015873E-2</v>
      </c>
      <c r="C27" s="174">
        <f>SUM(C17:C26)</f>
        <v>9.2857142857142846E-2</v>
      </c>
      <c r="D27" s="113"/>
      <c r="E27" s="113"/>
    </row>
    <row r="28" spans="1:5" ht="16" thickBot="1">
      <c r="A28" s="158" t="s">
        <v>144</v>
      </c>
      <c r="B28" s="159"/>
      <c r="C28" s="159"/>
      <c r="D28" s="9"/>
      <c r="E28" s="9"/>
    </row>
    <row r="29" spans="1:5">
      <c r="A29" s="155" t="s">
        <v>163</v>
      </c>
      <c r="B29" s="176"/>
      <c r="C29" s="176"/>
    </row>
    <row r="30" spans="1:5">
      <c r="A30" s="155" t="s">
        <v>164</v>
      </c>
      <c r="B30" s="176"/>
      <c r="C30" s="176"/>
    </row>
    <row r="31" spans="1:5">
      <c r="A31" s="155" t="s">
        <v>165</v>
      </c>
      <c r="B31" s="176"/>
      <c r="C31" s="176"/>
    </row>
    <row r="32" spans="1:5">
      <c r="A32" s="155" t="s">
        <v>166</v>
      </c>
      <c r="B32" s="176"/>
      <c r="C32" s="176"/>
    </row>
    <row r="33" spans="1:5">
      <c r="A33" s="155" t="s">
        <v>167</v>
      </c>
      <c r="B33" s="176"/>
      <c r="C33" s="176"/>
    </row>
    <row r="34" spans="1:5" ht="30">
      <c r="A34" s="157" t="s">
        <v>168</v>
      </c>
      <c r="B34" s="176"/>
      <c r="C34" s="176"/>
    </row>
    <row r="35" spans="1:5" ht="16" thickBot="1">
      <c r="A35" s="157" t="s">
        <v>145</v>
      </c>
      <c r="B35" s="176"/>
      <c r="C35" s="176"/>
    </row>
    <row r="36" spans="1:5" s="9" customFormat="1" ht="16" thickBot="1">
      <c r="A36" s="156" t="s">
        <v>169</v>
      </c>
      <c r="B36" s="173">
        <f t="shared" ref="B36:C36" si="1">SUM(B29:B35)</f>
        <v>0</v>
      </c>
      <c r="C36" s="174">
        <f t="shared" si="1"/>
        <v>0</v>
      </c>
      <c r="D36" s="113"/>
      <c r="E36" s="113"/>
    </row>
    <row r="37" spans="1:5" ht="31" thickBot="1">
      <c r="A37" s="160" t="s">
        <v>170</v>
      </c>
      <c r="B37" s="177">
        <f t="shared" ref="B37:C37" si="2">SUM(B15,B27,B36)</f>
        <v>0.2605553605553606</v>
      </c>
      <c r="C37" s="178">
        <f t="shared" si="2"/>
        <v>0.26468234468234469</v>
      </c>
      <c r="D37" s="9"/>
      <c r="E37" s="9"/>
    </row>
  </sheetData>
  <mergeCells count="1">
    <mergeCell ref="B3:C3"/>
  </mergeCells>
  <conditionalFormatting sqref="B15:C15">
    <cfRule type="cellIs" dxfId="2" priority="3" operator="greaterThan">
      <formula>1</formula>
    </cfRule>
  </conditionalFormatting>
  <conditionalFormatting sqref="B27:C27">
    <cfRule type="cellIs" dxfId="1" priority="2" operator="greaterThan">
      <formula>1</formula>
    </cfRule>
  </conditionalFormatting>
  <conditionalFormatting sqref="B36:C36">
    <cfRule type="cellIs" dxfId="0" priority="1" operator="greaterThan">
      <formula>1</formula>
    </cfRule>
  </conditionalFormatting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L110"/>
  <sheetViews>
    <sheetView workbookViewId="0">
      <selection activeCell="A2" sqref="A2"/>
    </sheetView>
  </sheetViews>
  <sheetFormatPr baseColWidth="10" defaultRowHeight="15" x14ac:dyDescent="0"/>
  <cols>
    <col min="1" max="1" width="24" style="13" customWidth="1"/>
    <col min="2" max="2" width="17.1640625" style="26" customWidth="1"/>
    <col min="3" max="3" width="10.83203125" style="47" customWidth="1"/>
    <col min="4" max="5" width="10.83203125" style="26" customWidth="1"/>
    <col min="6" max="6" width="24.83203125" style="26" customWidth="1"/>
    <col min="7" max="7" width="24.83203125" style="34" customWidth="1"/>
    <col min="8" max="10" width="10.83203125" style="35"/>
    <col min="11" max="11" width="24.83203125" style="26" customWidth="1"/>
    <col min="12" max="12" width="24.83203125" style="34" customWidth="1"/>
    <col min="13" max="16384" width="10.83203125" style="4"/>
  </cols>
  <sheetData>
    <row r="1" spans="1:12" s="1" customFormat="1">
      <c r="A1" s="2" t="s">
        <v>7</v>
      </c>
      <c r="B1" s="25"/>
      <c r="C1" s="46"/>
      <c r="D1" s="25"/>
      <c r="E1" s="25"/>
      <c r="F1" s="25"/>
      <c r="G1" s="33"/>
      <c r="H1" s="25"/>
      <c r="I1" s="25"/>
      <c r="J1" s="25"/>
      <c r="K1" s="25"/>
      <c r="L1" s="33"/>
    </row>
    <row r="2" spans="1:12">
      <c r="A2" s="3"/>
    </row>
    <row r="3" spans="1:12">
      <c r="C3" s="48" t="s">
        <v>65</v>
      </c>
      <c r="D3" s="36"/>
      <c r="E3" s="36"/>
      <c r="F3" s="36"/>
      <c r="G3" s="37"/>
      <c r="H3" s="38" t="s">
        <v>66</v>
      </c>
      <c r="I3" s="39"/>
      <c r="J3" s="39"/>
      <c r="K3" s="39"/>
      <c r="L3" s="40"/>
    </row>
    <row r="4" spans="1:12" s="9" customFormat="1" ht="61" thickBot="1">
      <c r="A4" s="162" t="s">
        <v>0</v>
      </c>
      <c r="B4" s="163" t="s">
        <v>1</v>
      </c>
      <c r="C4" s="49" t="s">
        <v>2</v>
      </c>
      <c r="D4" s="5" t="s">
        <v>3</v>
      </c>
      <c r="E4" s="6" t="s">
        <v>4</v>
      </c>
      <c r="F4" s="5" t="s">
        <v>79</v>
      </c>
      <c r="G4" s="6" t="s">
        <v>5</v>
      </c>
      <c r="H4" s="7" t="s">
        <v>2</v>
      </c>
      <c r="I4" s="7" t="s">
        <v>3</v>
      </c>
      <c r="J4" s="7" t="s">
        <v>4</v>
      </c>
      <c r="K4" s="7" t="s">
        <v>79</v>
      </c>
      <c r="L4" s="8" t="s">
        <v>5</v>
      </c>
    </row>
    <row r="5" spans="1:12" s="9" customFormat="1">
      <c r="A5" s="15" t="s">
        <v>62</v>
      </c>
      <c r="B5" s="16" t="s">
        <v>188</v>
      </c>
      <c r="C5" s="50"/>
      <c r="D5" s="27"/>
      <c r="E5" s="27"/>
      <c r="F5" s="17"/>
      <c r="G5" s="18"/>
      <c r="H5" s="30"/>
      <c r="I5" s="30"/>
      <c r="J5" s="30"/>
      <c r="K5" s="30"/>
      <c r="L5" s="19"/>
    </row>
    <row r="6" spans="1:12" s="9" customFormat="1" ht="16" thickBot="1">
      <c r="A6" s="20" t="s">
        <v>54</v>
      </c>
      <c r="B6" s="21" t="s">
        <v>61</v>
      </c>
      <c r="C6" s="51"/>
      <c r="D6" s="28"/>
      <c r="E6" s="28"/>
      <c r="F6" s="22"/>
      <c r="G6" s="23"/>
      <c r="H6" s="31"/>
      <c r="I6" s="31"/>
      <c r="J6" s="31"/>
      <c r="K6" s="31"/>
      <c r="L6" s="24"/>
    </row>
    <row r="7" spans="1:12">
      <c r="A7" s="164" t="s">
        <v>57</v>
      </c>
      <c r="B7" s="153" t="s">
        <v>6</v>
      </c>
      <c r="C7" s="52">
        <v>1</v>
      </c>
      <c r="D7" s="41"/>
      <c r="E7" s="41"/>
      <c r="F7" s="45"/>
      <c r="G7" s="42"/>
      <c r="H7" s="138">
        <f>C7</f>
        <v>1</v>
      </c>
      <c r="I7" s="43"/>
      <c r="J7" s="43"/>
      <c r="K7" s="43"/>
      <c r="L7" s="44"/>
    </row>
    <row r="8" spans="1:12" ht="135">
      <c r="A8" s="164" t="s">
        <v>70</v>
      </c>
      <c r="B8" s="153" t="s">
        <v>171</v>
      </c>
      <c r="C8" s="52">
        <v>25</v>
      </c>
      <c r="D8" s="41"/>
      <c r="E8" s="41">
        <v>35</v>
      </c>
      <c r="F8" s="45"/>
      <c r="G8" s="57" t="s">
        <v>189</v>
      </c>
      <c r="H8" s="139">
        <f>C8*1.1</f>
        <v>27.500000000000004</v>
      </c>
      <c r="I8" s="43"/>
      <c r="J8" s="43"/>
      <c r="K8" s="43"/>
      <c r="L8" s="44"/>
    </row>
    <row r="9" spans="1:12" ht="75">
      <c r="A9" s="164" t="s">
        <v>72</v>
      </c>
      <c r="B9" s="153" t="s">
        <v>172</v>
      </c>
      <c r="C9" s="52">
        <v>70</v>
      </c>
      <c r="D9" s="41">
        <v>60</v>
      </c>
      <c r="E9" s="41"/>
      <c r="F9" s="45"/>
      <c r="G9" s="42" t="s">
        <v>190</v>
      </c>
      <c r="H9" s="138">
        <f>C9/$C$8*$H$8</f>
        <v>77</v>
      </c>
      <c r="I9" s="43"/>
      <c r="J9" s="43"/>
      <c r="K9" s="43"/>
      <c r="L9" s="44"/>
    </row>
    <row r="10" spans="1:12" ht="165">
      <c r="A10" s="164" t="s">
        <v>71</v>
      </c>
      <c r="B10" s="153" t="s">
        <v>48</v>
      </c>
      <c r="C10" s="137">
        <f>100*3</f>
        <v>300</v>
      </c>
      <c r="D10" s="41"/>
      <c r="E10" s="41"/>
      <c r="F10" s="56"/>
      <c r="G10" s="42" t="s">
        <v>173</v>
      </c>
      <c r="H10" s="138">
        <f>C10/$C$8*$H$8</f>
        <v>330.00000000000006</v>
      </c>
      <c r="I10" s="43"/>
      <c r="J10" s="43"/>
      <c r="K10" s="43"/>
      <c r="L10" s="44"/>
    </row>
    <row r="11" spans="1:12" ht="16" thickBot="1">
      <c r="A11" s="164" t="s">
        <v>8</v>
      </c>
      <c r="B11" s="153" t="s">
        <v>48</v>
      </c>
      <c r="C11" s="52">
        <v>0</v>
      </c>
      <c r="D11" s="41"/>
      <c r="E11" s="41"/>
      <c r="F11" s="45"/>
      <c r="G11" s="42"/>
      <c r="H11" s="138">
        <f>C11/$C$8*$H$8</f>
        <v>0</v>
      </c>
      <c r="I11" s="43"/>
      <c r="J11" s="43"/>
      <c r="K11" s="43"/>
      <c r="L11" s="44"/>
    </row>
    <row r="12" spans="1:12" s="9" customFormat="1" ht="16" thickBot="1">
      <c r="A12" s="165" t="s">
        <v>9</v>
      </c>
      <c r="B12" s="166"/>
      <c r="C12" s="53"/>
      <c r="D12" s="29"/>
      <c r="E12" s="29"/>
      <c r="F12" s="14"/>
      <c r="G12" s="11"/>
      <c r="H12" s="140"/>
      <c r="I12" s="32"/>
      <c r="J12" s="32"/>
      <c r="K12" s="32"/>
      <c r="L12" s="12"/>
    </row>
    <row r="13" spans="1:12">
      <c r="A13" s="164" t="s">
        <v>80</v>
      </c>
      <c r="B13" s="153" t="s">
        <v>58</v>
      </c>
      <c r="C13" s="52">
        <v>3</v>
      </c>
      <c r="D13" s="41"/>
      <c r="E13" s="41"/>
      <c r="F13" s="45"/>
      <c r="G13" s="42"/>
      <c r="H13" s="138">
        <f>C13</f>
        <v>3</v>
      </c>
      <c r="I13" s="43"/>
      <c r="J13" s="43"/>
      <c r="K13" s="43"/>
      <c r="L13" s="44"/>
    </row>
    <row r="14" spans="1:12" ht="60">
      <c r="A14" s="164" t="s">
        <v>146</v>
      </c>
      <c r="B14" s="153" t="s">
        <v>22</v>
      </c>
      <c r="C14" s="52">
        <v>135</v>
      </c>
      <c r="D14" s="41"/>
      <c r="E14" s="41"/>
      <c r="F14" s="45"/>
      <c r="G14" s="42"/>
      <c r="H14" s="138">
        <f t="shared" ref="H14:H25" si="0">C14</f>
        <v>135</v>
      </c>
      <c r="I14" s="43"/>
      <c r="J14" s="43"/>
      <c r="K14" s="43"/>
      <c r="L14" s="44"/>
    </row>
    <row r="15" spans="1:12">
      <c r="A15" s="164" t="s">
        <v>10</v>
      </c>
      <c r="B15" s="153" t="s">
        <v>59</v>
      </c>
      <c r="C15" s="52">
        <v>1</v>
      </c>
      <c r="D15" s="41"/>
      <c r="E15" s="41"/>
      <c r="F15" s="45"/>
      <c r="G15" s="42"/>
      <c r="H15" s="138">
        <f t="shared" si="0"/>
        <v>1</v>
      </c>
      <c r="I15" s="43"/>
      <c r="J15" s="43"/>
      <c r="K15" s="43"/>
      <c r="L15" s="44"/>
    </row>
    <row r="16" spans="1:12">
      <c r="A16" s="164" t="s">
        <v>68</v>
      </c>
      <c r="B16" s="153" t="s">
        <v>22</v>
      </c>
      <c r="C16" s="52">
        <v>35</v>
      </c>
      <c r="D16" s="41"/>
      <c r="E16" s="41"/>
      <c r="F16" s="45"/>
      <c r="G16" s="42"/>
      <c r="H16" s="138">
        <f t="shared" si="0"/>
        <v>35</v>
      </c>
      <c r="I16" s="43"/>
      <c r="J16" s="43"/>
      <c r="K16" s="43"/>
      <c r="L16" s="44"/>
    </row>
    <row r="17" spans="1:12">
      <c r="A17" s="164" t="s">
        <v>11</v>
      </c>
      <c r="B17" s="153" t="s">
        <v>59</v>
      </c>
      <c r="C17" s="52">
        <v>1</v>
      </c>
      <c r="D17" s="41"/>
      <c r="E17" s="41"/>
      <c r="F17" s="45"/>
      <c r="G17" s="42"/>
      <c r="H17" s="138">
        <f t="shared" si="0"/>
        <v>1</v>
      </c>
      <c r="I17" s="43"/>
      <c r="J17" s="43"/>
      <c r="K17" s="43"/>
      <c r="L17" s="44"/>
    </row>
    <row r="18" spans="1:12">
      <c r="A18" s="164" t="s">
        <v>69</v>
      </c>
      <c r="B18" s="153" t="s">
        <v>22</v>
      </c>
      <c r="C18" s="52">
        <v>70</v>
      </c>
      <c r="D18" s="41"/>
      <c r="E18" s="41"/>
      <c r="F18" s="45"/>
      <c r="G18" s="42"/>
      <c r="H18" s="138">
        <f t="shared" si="0"/>
        <v>70</v>
      </c>
      <c r="I18" s="43"/>
      <c r="J18" s="43"/>
      <c r="K18" s="43"/>
      <c r="L18" s="44"/>
    </row>
    <row r="19" spans="1:12">
      <c r="A19" s="164" t="s">
        <v>12</v>
      </c>
      <c r="B19" s="153" t="s">
        <v>58</v>
      </c>
      <c r="C19" s="52">
        <v>1.5</v>
      </c>
      <c r="D19" s="41"/>
      <c r="E19" s="41"/>
      <c r="F19" s="45"/>
      <c r="G19" s="42"/>
      <c r="H19" s="138">
        <f t="shared" si="0"/>
        <v>1.5</v>
      </c>
      <c r="I19" s="43"/>
      <c r="J19" s="43"/>
      <c r="K19" s="43"/>
      <c r="L19" s="44"/>
    </row>
    <row r="20" spans="1:12">
      <c r="A20" s="164" t="s">
        <v>13</v>
      </c>
      <c r="B20" s="153" t="s">
        <v>60</v>
      </c>
      <c r="C20" s="52">
        <v>45</v>
      </c>
      <c r="D20" s="41"/>
      <c r="E20" s="41"/>
      <c r="F20" s="45"/>
      <c r="G20" s="42"/>
      <c r="H20" s="138">
        <f t="shared" si="0"/>
        <v>45</v>
      </c>
      <c r="I20" s="43"/>
      <c r="J20" s="43"/>
      <c r="K20" s="43"/>
      <c r="L20" s="44"/>
    </row>
    <row r="21" spans="1:12">
      <c r="A21" s="164" t="s">
        <v>14</v>
      </c>
      <c r="B21" s="153" t="s">
        <v>59</v>
      </c>
      <c r="C21" s="52">
        <v>1</v>
      </c>
      <c r="D21" s="41"/>
      <c r="E21" s="41"/>
      <c r="F21" s="45"/>
      <c r="G21" s="42"/>
      <c r="H21" s="138">
        <f t="shared" si="0"/>
        <v>1</v>
      </c>
      <c r="I21" s="43"/>
      <c r="J21" s="43"/>
      <c r="K21" s="43"/>
      <c r="L21" s="44"/>
    </row>
    <row r="22" spans="1:12">
      <c r="A22" s="164" t="s">
        <v>15</v>
      </c>
      <c r="B22" s="153" t="s">
        <v>22</v>
      </c>
      <c r="C22" s="52">
        <v>30</v>
      </c>
      <c r="D22" s="41"/>
      <c r="E22" s="41"/>
      <c r="F22" s="45"/>
      <c r="G22" s="42"/>
      <c r="H22" s="138">
        <f t="shared" si="0"/>
        <v>30</v>
      </c>
      <c r="I22" s="43"/>
      <c r="J22" s="43"/>
      <c r="K22" s="43"/>
      <c r="L22" s="44"/>
    </row>
    <row r="23" spans="1:12">
      <c r="A23" s="164" t="s">
        <v>174</v>
      </c>
      <c r="B23" s="153" t="s">
        <v>59</v>
      </c>
      <c r="C23" s="52">
        <v>0.5</v>
      </c>
      <c r="D23" s="41"/>
      <c r="E23" s="41"/>
      <c r="F23" s="45"/>
      <c r="G23" s="42"/>
      <c r="H23" s="138">
        <f t="shared" si="0"/>
        <v>0.5</v>
      </c>
      <c r="I23" s="43"/>
      <c r="J23" s="43"/>
      <c r="K23" s="43"/>
      <c r="L23" s="44"/>
    </row>
    <row r="24" spans="1:12">
      <c r="A24" s="164" t="s">
        <v>175</v>
      </c>
      <c r="B24" s="153" t="s">
        <v>22</v>
      </c>
      <c r="C24" s="52">
        <v>15</v>
      </c>
      <c r="D24" s="41"/>
      <c r="E24" s="41"/>
      <c r="F24" s="45"/>
      <c r="G24" s="42"/>
      <c r="H24" s="138">
        <f t="shared" si="0"/>
        <v>15</v>
      </c>
      <c r="I24" s="43"/>
      <c r="J24" s="43"/>
      <c r="K24" s="43"/>
      <c r="L24" s="44"/>
    </row>
    <row r="25" spans="1:12" ht="16" thickBot="1">
      <c r="A25" s="167" t="s">
        <v>73</v>
      </c>
      <c r="B25" s="168" t="s">
        <v>22</v>
      </c>
      <c r="C25" s="52">
        <v>0</v>
      </c>
      <c r="D25" s="41"/>
      <c r="E25" s="41"/>
      <c r="F25" s="45"/>
      <c r="G25" s="42"/>
      <c r="H25" s="138">
        <f t="shared" si="0"/>
        <v>0</v>
      </c>
      <c r="I25" s="43"/>
      <c r="J25" s="43"/>
      <c r="K25" s="43"/>
      <c r="L25" s="44"/>
    </row>
    <row r="26" spans="1:12" s="9" customFormat="1" ht="16" thickBot="1">
      <c r="A26" s="165" t="s">
        <v>16</v>
      </c>
      <c r="B26" s="166"/>
      <c r="C26" s="53"/>
      <c r="D26" s="29"/>
      <c r="E26" s="29"/>
      <c r="F26" s="14"/>
      <c r="G26" s="11"/>
      <c r="H26" s="140"/>
      <c r="I26" s="32"/>
      <c r="J26" s="32"/>
      <c r="K26" s="32"/>
      <c r="L26" s="12"/>
    </row>
    <row r="27" spans="1:12">
      <c r="A27" s="164" t="s">
        <v>16</v>
      </c>
      <c r="B27" s="153" t="s">
        <v>24</v>
      </c>
      <c r="C27" s="52">
        <v>160</v>
      </c>
      <c r="D27" s="41"/>
      <c r="E27" s="41"/>
      <c r="F27" s="45"/>
      <c r="G27" s="42"/>
      <c r="H27" s="138">
        <f t="shared" ref="H27:H28" si="1">C27</f>
        <v>160</v>
      </c>
      <c r="I27" s="43"/>
      <c r="J27" s="43"/>
      <c r="K27" s="43"/>
      <c r="L27" s="44"/>
    </row>
    <row r="28" spans="1:12" ht="16" thickBot="1">
      <c r="A28" s="164" t="s">
        <v>17</v>
      </c>
      <c r="B28" s="153" t="s">
        <v>22</v>
      </c>
      <c r="C28" s="52">
        <v>139.19999999999999</v>
      </c>
      <c r="D28" s="41"/>
      <c r="E28" s="41"/>
      <c r="F28" s="45"/>
      <c r="G28" s="42"/>
      <c r="H28" s="138">
        <f t="shared" si="1"/>
        <v>139.19999999999999</v>
      </c>
      <c r="I28" s="43"/>
      <c r="J28" s="43"/>
      <c r="K28" s="43"/>
      <c r="L28" s="44"/>
    </row>
    <row r="29" spans="1:12" s="9" customFormat="1" ht="16" thickBot="1">
      <c r="A29" s="165" t="s">
        <v>18</v>
      </c>
      <c r="B29" s="166"/>
      <c r="C29" s="53"/>
      <c r="D29" s="29"/>
      <c r="E29" s="29"/>
      <c r="F29" s="14"/>
      <c r="G29" s="11"/>
      <c r="H29" s="140"/>
      <c r="I29" s="32"/>
      <c r="J29" s="32"/>
      <c r="K29" s="32"/>
      <c r="L29" s="12"/>
    </row>
    <row r="30" spans="1:12">
      <c r="A30" s="164" t="s">
        <v>19</v>
      </c>
      <c r="B30" s="153" t="s">
        <v>20</v>
      </c>
      <c r="C30" s="52" t="s">
        <v>64</v>
      </c>
      <c r="D30" s="41"/>
      <c r="E30" s="41"/>
      <c r="F30" s="45"/>
      <c r="G30" s="42"/>
      <c r="H30" s="138" t="str">
        <f t="shared" ref="H30:H37" si="2">C30</f>
        <v>-</v>
      </c>
      <c r="I30" s="43"/>
      <c r="J30" s="43"/>
      <c r="K30" s="43"/>
      <c r="L30" s="44"/>
    </row>
    <row r="31" spans="1:12">
      <c r="A31" s="164" t="s">
        <v>21</v>
      </c>
      <c r="B31" s="153" t="s">
        <v>22</v>
      </c>
      <c r="C31" s="52" t="s">
        <v>64</v>
      </c>
      <c r="D31" s="41"/>
      <c r="E31" s="41"/>
      <c r="F31" s="45"/>
      <c r="G31" s="42"/>
      <c r="H31" s="138" t="str">
        <f t="shared" si="2"/>
        <v>-</v>
      </c>
      <c r="I31" s="43"/>
      <c r="J31" s="43"/>
      <c r="K31" s="43"/>
      <c r="L31" s="44"/>
    </row>
    <row r="32" spans="1:12">
      <c r="A32" s="164" t="s">
        <v>23</v>
      </c>
      <c r="B32" s="153" t="s">
        <v>24</v>
      </c>
      <c r="C32" s="52">
        <v>350</v>
      </c>
      <c r="D32" s="41"/>
      <c r="E32" s="41"/>
      <c r="F32" s="45"/>
      <c r="G32" s="42"/>
      <c r="H32" s="138">
        <f t="shared" si="2"/>
        <v>350</v>
      </c>
      <c r="I32" s="43"/>
      <c r="J32" s="43"/>
      <c r="K32" s="43"/>
      <c r="L32" s="44"/>
    </row>
    <row r="33" spans="1:12">
      <c r="A33" s="164" t="s">
        <v>25</v>
      </c>
      <c r="B33" s="153" t="s">
        <v>22</v>
      </c>
      <c r="C33" s="52">
        <v>147</v>
      </c>
      <c r="D33" s="41"/>
      <c r="E33" s="41"/>
      <c r="F33" s="45"/>
      <c r="G33" s="42"/>
      <c r="H33" s="138">
        <f t="shared" si="2"/>
        <v>147</v>
      </c>
      <c r="I33" s="43"/>
      <c r="J33" s="43"/>
      <c r="K33" s="43"/>
      <c r="L33" s="44"/>
    </row>
    <row r="34" spans="1:12">
      <c r="A34" s="164" t="s">
        <v>26</v>
      </c>
      <c r="B34" s="153" t="s">
        <v>24</v>
      </c>
      <c r="C34" s="52">
        <v>100</v>
      </c>
      <c r="D34" s="41"/>
      <c r="E34" s="41"/>
      <c r="F34" s="45"/>
      <c r="G34" s="42"/>
      <c r="H34" s="138">
        <f t="shared" si="2"/>
        <v>100</v>
      </c>
      <c r="I34" s="43"/>
      <c r="J34" s="43"/>
      <c r="K34" s="43"/>
      <c r="L34" s="44"/>
    </row>
    <row r="35" spans="1:12">
      <c r="A35" s="164" t="s">
        <v>27</v>
      </c>
      <c r="B35" s="153" t="s">
        <v>22</v>
      </c>
      <c r="C35" s="52">
        <v>52</v>
      </c>
      <c r="D35" s="41"/>
      <c r="E35" s="41"/>
      <c r="F35" s="45"/>
      <c r="G35" s="42"/>
      <c r="H35" s="138">
        <f t="shared" si="2"/>
        <v>52</v>
      </c>
      <c r="I35" s="43"/>
      <c r="J35" s="43"/>
      <c r="K35" s="43"/>
      <c r="L35" s="44"/>
    </row>
    <row r="36" spans="1:12">
      <c r="A36" s="164" t="s">
        <v>28</v>
      </c>
      <c r="B36" s="153" t="s">
        <v>24</v>
      </c>
      <c r="C36" s="52">
        <v>0</v>
      </c>
      <c r="D36" s="41"/>
      <c r="E36" s="41"/>
      <c r="F36" s="45"/>
      <c r="G36" s="42"/>
      <c r="H36" s="138">
        <f t="shared" si="2"/>
        <v>0</v>
      </c>
      <c r="I36" s="43"/>
      <c r="J36" s="43"/>
      <c r="K36" s="43"/>
      <c r="L36" s="44"/>
    </row>
    <row r="37" spans="1:12" ht="16" thickBot="1">
      <c r="A37" s="164" t="s">
        <v>29</v>
      </c>
      <c r="B37" s="153" t="s">
        <v>22</v>
      </c>
      <c r="C37" s="52">
        <v>0</v>
      </c>
      <c r="D37" s="41"/>
      <c r="E37" s="41"/>
      <c r="F37" s="45"/>
      <c r="G37" s="42"/>
      <c r="H37" s="138">
        <f t="shared" si="2"/>
        <v>0</v>
      </c>
      <c r="I37" s="43"/>
      <c r="J37" s="43"/>
      <c r="K37" s="43"/>
      <c r="L37" s="44"/>
    </row>
    <row r="38" spans="1:12" s="9" customFormat="1" ht="31" thickBot="1">
      <c r="A38" s="165" t="s">
        <v>30</v>
      </c>
      <c r="B38" s="166"/>
      <c r="C38" s="53"/>
      <c r="D38" s="29"/>
      <c r="E38" s="29"/>
      <c r="F38" s="14"/>
      <c r="G38" s="11"/>
      <c r="H38" s="140"/>
      <c r="I38" s="32"/>
      <c r="J38" s="32"/>
      <c r="K38" s="32"/>
      <c r="L38" s="12"/>
    </row>
    <row r="39" spans="1:12">
      <c r="A39" s="164" t="s">
        <v>31</v>
      </c>
      <c r="B39" s="153" t="s">
        <v>32</v>
      </c>
      <c r="C39" s="52">
        <v>2000</v>
      </c>
      <c r="D39" s="41"/>
      <c r="E39" s="41"/>
      <c r="F39" s="45"/>
      <c r="G39" s="42"/>
      <c r="H39" s="138">
        <f t="shared" ref="H39:H44" si="3">C39</f>
        <v>2000</v>
      </c>
      <c r="I39" s="43"/>
      <c r="J39" s="43"/>
      <c r="K39" s="43"/>
      <c r="L39" s="44"/>
    </row>
    <row r="40" spans="1:12">
      <c r="A40" s="164" t="s">
        <v>33</v>
      </c>
      <c r="B40" s="153" t="s">
        <v>22</v>
      </c>
      <c r="C40" s="52">
        <v>180</v>
      </c>
      <c r="D40" s="41"/>
      <c r="E40" s="41"/>
      <c r="F40" s="45"/>
      <c r="G40" s="42"/>
      <c r="H40" s="138">
        <f t="shared" si="3"/>
        <v>180</v>
      </c>
      <c r="I40" s="43"/>
      <c r="J40" s="43"/>
      <c r="K40" s="43"/>
      <c r="L40" s="44"/>
    </row>
    <row r="41" spans="1:12">
      <c r="A41" s="164" t="s">
        <v>34</v>
      </c>
      <c r="B41" s="153" t="s">
        <v>32</v>
      </c>
      <c r="C41" s="52">
        <v>330</v>
      </c>
      <c r="D41" s="41"/>
      <c r="E41" s="41"/>
      <c r="F41" s="45"/>
      <c r="G41" s="42"/>
      <c r="H41" s="138">
        <f t="shared" si="3"/>
        <v>330</v>
      </c>
      <c r="I41" s="43"/>
      <c r="J41" s="43"/>
      <c r="K41" s="43"/>
      <c r="L41" s="44"/>
    </row>
    <row r="42" spans="1:12">
      <c r="A42" s="164" t="s">
        <v>35</v>
      </c>
      <c r="B42" s="153" t="s">
        <v>22</v>
      </c>
      <c r="C42" s="52">
        <v>99</v>
      </c>
      <c r="D42" s="41"/>
      <c r="E42" s="41"/>
      <c r="F42" s="45"/>
      <c r="G42" s="42"/>
      <c r="H42" s="138">
        <f t="shared" si="3"/>
        <v>99</v>
      </c>
      <c r="I42" s="43"/>
      <c r="J42" s="43"/>
      <c r="K42" s="43"/>
      <c r="L42" s="44"/>
    </row>
    <row r="43" spans="1:12">
      <c r="A43" s="164" t="s">
        <v>36</v>
      </c>
      <c r="B43" s="153" t="s">
        <v>37</v>
      </c>
      <c r="C43" s="52" t="s">
        <v>64</v>
      </c>
      <c r="D43" s="41"/>
      <c r="E43" s="41"/>
      <c r="F43" s="45"/>
      <c r="G43" s="42"/>
      <c r="H43" s="138" t="str">
        <f t="shared" si="3"/>
        <v>-</v>
      </c>
      <c r="I43" s="43"/>
      <c r="J43" s="43"/>
      <c r="K43" s="43"/>
      <c r="L43" s="44"/>
    </row>
    <row r="44" spans="1:12" ht="16" thickBot="1">
      <c r="A44" s="164" t="s">
        <v>38</v>
      </c>
      <c r="B44" s="153" t="s">
        <v>22</v>
      </c>
      <c r="C44" s="52" t="s">
        <v>64</v>
      </c>
      <c r="D44" s="41"/>
      <c r="E44" s="41"/>
      <c r="F44" s="45"/>
      <c r="G44" s="42"/>
      <c r="H44" s="138" t="str">
        <f t="shared" si="3"/>
        <v>-</v>
      </c>
      <c r="I44" s="43"/>
      <c r="J44" s="43"/>
      <c r="K44" s="43"/>
      <c r="L44" s="44"/>
    </row>
    <row r="45" spans="1:12" s="9" customFormat="1" ht="16" thickBot="1">
      <c r="A45" s="165" t="s">
        <v>39</v>
      </c>
      <c r="B45" s="166"/>
      <c r="C45" s="53"/>
      <c r="D45" s="29"/>
      <c r="E45" s="29"/>
      <c r="F45" s="14"/>
      <c r="G45" s="11"/>
      <c r="H45" s="140"/>
      <c r="I45" s="32"/>
      <c r="J45" s="32"/>
      <c r="K45" s="32"/>
      <c r="L45" s="12"/>
    </row>
    <row r="46" spans="1:12">
      <c r="A46" s="164" t="s">
        <v>40</v>
      </c>
      <c r="B46" s="153" t="s">
        <v>41</v>
      </c>
      <c r="C46" s="52">
        <v>0</v>
      </c>
      <c r="D46" s="41"/>
      <c r="E46" s="41"/>
      <c r="F46" s="45"/>
      <c r="G46" s="42"/>
      <c r="H46" s="138">
        <f t="shared" ref="H46:H49" si="4">C46</f>
        <v>0</v>
      </c>
      <c r="I46" s="43"/>
      <c r="J46" s="43"/>
      <c r="K46" s="43"/>
      <c r="L46" s="44"/>
    </row>
    <row r="47" spans="1:12" ht="30">
      <c r="A47" s="164" t="s">
        <v>42</v>
      </c>
      <c r="B47" s="153" t="s">
        <v>22</v>
      </c>
      <c r="C47" s="52">
        <v>0</v>
      </c>
      <c r="D47" s="41"/>
      <c r="E47" s="41"/>
      <c r="F47" s="45"/>
      <c r="G47" s="42"/>
      <c r="H47" s="138">
        <f t="shared" si="4"/>
        <v>0</v>
      </c>
      <c r="I47" s="43"/>
      <c r="J47" s="43"/>
      <c r="K47" s="43"/>
      <c r="L47" s="44"/>
    </row>
    <row r="48" spans="1:12">
      <c r="A48" s="164" t="s">
        <v>76</v>
      </c>
      <c r="B48" s="153" t="s">
        <v>78</v>
      </c>
      <c r="C48" s="52">
        <v>0</v>
      </c>
      <c r="D48" s="41"/>
      <c r="E48" s="41"/>
      <c r="F48" s="45"/>
      <c r="G48" s="42"/>
      <c r="H48" s="138">
        <f t="shared" si="4"/>
        <v>0</v>
      </c>
      <c r="I48" s="43"/>
      <c r="J48" s="43"/>
      <c r="K48" s="43"/>
      <c r="L48" s="44"/>
    </row>
    <row r="49" spans="1:12" ht="31" thickBot="1">
      <c r="A49" s="164" t="s">
        <v>77</v>
      </c>
      <c r="B49" s="153" t="s">
        <v>48</v>
      </c>
      <c r="C49" s="52">
        <v>0</v>
      </c>
      <c r="D49" s="41"/>
      <c r="E49" s="41"/>
      <c r="F49" s="45"/>
      <c r="G49" s="42"/>
      <c r="H49" s="138">
        <f t="shared" si="4"/>
        <v>0</v>
      </c>
      <c r="I49" s="43"/>
      <c r="J49" s="43"/>
      <c r="K49" s="179"/>
      <c r="L49" s="180"/>
    </row>
    <row r="50" spans="1:12" s="9" customFormat="1" ht="16" thickBot="1">
      <c r="A50" s="165" t="s">
        <v>43</v>
      </c>
      <c r="B50" s="166"/>
      <c r="C50" s="53"/>
      <c r="D50" s="29"/>
      <c r="E50" s="29"/>
      <c r="F50" s="14"/>
      <c r="G50" s="11"/>
      <c r="H50" s="140"/>
      <c r="I50" s="32"/>
      <c r="J50" s="32"/>
      <c r="K50" s="32"/>
      <c r="L50" s="12"/>
    </row>
    <row r="51" spans="1:12">
      <c r="A51" s="164" t="s">
        <v>176</v>
      </c>
      <c r="B51" s="153" t="s">
        <v>44</v>
      </c>
      <c r="C51" s="52">
        <v>6</v>
      </c>
      <c r="D51" s="41"/>
      <c r="E51" s="41"/>
      <c r="F51" s="45"/>
      <c r="G51" s="42"/>
      <c r="H51" s="138">
        <f t="shared" ref="H51:H55" si="5">C51</f>
        <v>6</v>
      </c>
      <c r="I51" s="43"/>
      <c r="J51" s="43"/>
      <c r="K51" s="43"/>
      <c r="L51" s="44"/>
    </row>
    <row r="52" spans="1:12" ht="45">
      <c r="A52" s="164" t="s">
        <v>177</v>
      </c>
      <c r="B52" s="153" t="s">
        <v>22</v>
      </c>
      <c r="C52" s="52">
        <v>73.800000000000011</v>
      </c>
      <c r="D52" s="41"/>
      <c r="E52" s="41"/>
      <c r="F52" s="45"/>
      <c r="G52" s="42"/>
      <c r="H52" s="138">
        <f t="shared" si="5"/>
        <v>73.800000000000011</v>
      </c>
      <c r="I52" s="43"/>
      <c r="J52" s="43"/>
      <c r="K52" s="43"/>
      <c r="L52" s="44"/>
    </row>
    <row r="53" spans="1:12">
      <c r="A53" s="164" t="s">
        <v>56</v>
      </c>
      <c r="B53" s="153" t="s">
        <v>44</v>
      </c>
      <c r="C53" s="52" t="s">
        <v>64</v>
      </c>
      <c r="D53" s="41"/>
      <c r="E53" s="41"/>
      <c r="F53" s="45"/>
      <c r="G53" s="42"/>
      <c r="H53" s="138" t="str">
        <f t="shared" si="5"/>
        <v>-</v>
      </c>
      <c r="I53" s="43"/>
      <c r="J53" s="43"/>
      <c r="K53" s="43"/>
      <c r="L53" s="44"/>
    </row>
    <row r="54" spans="1:12" ht="45">
      <c r="A54" s="164" t="s">
        <v>178</v>
      </c>
      <c r="B54" s="153" t="s">
        <v>22</v>
      </c>
      <c r="C54" s="52" t="s">
        <v>64</v>
      </c>
      <c r="D54" s="41"/>
      <c r="E54" s="41"/>
      <c r="F54" s="45"/>
      <c r="G54" s="42"/>
      <c r="H54" s="138" t="str">
        <f t="shared" si="5"/>
        <v>-</v>
      </c>
      <c r="I54" s="43"/>
      <c r="J54" s="43"/>
      <c r="K54" s="43"/>
      <c r="L54" s="44"/>
    </row>
    <row r="55" spans="1:12" ht="16" thickBot="1">
      <c r="A55" s="167" t="s">
        <v>55</v>
      </c>
      <c r="B55" s="168" t="s">
        <v>44</v>
      </c>
      <c r="C55" s="52">
        <v>0</v>
      </c>
      <c r="D55" s="41"/>
      <c r="E55" s="41"/>
      <c r="F55" s="45"/>
      <c r="G55" s="42"/>
      <c r="H55" s="138">
        <f t="shared" si="5"/>
        <v>0</v>
      </c>
      <c r="I55" s="43"/>
      <c r="J55" s="43"/>
      <c r="K55" s="43"/>
      <c r="L55" s="44"/>
    </row>
    <row r="56" spans="1:12" s="9" customFormat="1" ht="16" thickBot="1">
      <c r="A56" s="165" t="s">
        <v>148</v>
      </c>
      <c r="B56" s="166"/>
      <c r="C56" s="53"/>
      <c r="D56" s="29"/>
      <c r="E56" s="29"/>
      <c r="F56" s="14"/>
      <c r="G56" s="11"/>
      <c r="H56" s="140"/>
      <c r="I56" s="32"/>
      <c r="J56" s="32"/>
      <c r="K56" s="32"/>
      <c r="L56" s="12"/>
    </row>
    <row r="57" spans="1:12">
      <c r="A57" s="164" t="s">
        <v>45</v>
      </c>
      <c r="B57" s="153" t="s">
        <v>22</v>
      </c>
      <c r="C57" s="52" t="s">
        <v>64</v>
      </c>
      <c r="D57" s="41"/>
      <c r="E57" s="41"/>
      <c r="F57" s="45"/>
      <c r="G57" s="42"/>
      <c r="H57" s="138" t="str">
        <f t="shared" ref="H57:H58" si="6">C57</f>
        <v>-</v>
      </c>
      <c r="I57" s="43"/>
      <c r="J57" s="43"/>
      <c r="K57" s="43"/>
      <c r="L57" s="44"/>
    </row>
    <row r="58" spans="1:12" ht="16" thickBot="1">
      <c r="A58" s="164" t="s">
        <v>46</v>
      </c>
      <c r="B58" s="153" t="s">
        <v>22</v>
      </c>
      <c r="C58" s="52" t="s">
        <v>64</v>
      </c>
      <c r="D58" s="41"/>
      <c r="E58" s="41"/>
      <c r="F58" s="45"/>
      <c r="G58" s="42"/>
      <c r="H58" s="138" t="str">
        <f t="shared" si="6"/>
        <v>-</v>
      </c>
      <c r="I58" s="43"/>
      <c r="J58" s="43"/>
      <c r="K58" s="43"/>
      <c r="L58" s="44"/>
    </row>
    <row r="59" spans="1:12" s="9" customFormat="1" ht="16" thickBot="1">
      <c r="A59" s="165" t="s">
        <v>47</v>
      </c>
      <c r="B59" s="166"/>
      <c r="C59" s="53"/>
      <c r="D59" s="29"/>
      <c r="E59" s="29"/>
      <c r="F59" s="14"/>
      <c r="G59" s="11"/>
      <c r="H59" s="140"/>
      <c r="I59" s="32"/>
      <c r="J59" s="32"/>
      <c r="K59" s="32"/>
      <c r="L59" s="12"/>
    </row>
    <row r="60" spans="1:12" ht="45">
      <c r="A60" s="164" t="s">
        <v>75</v>
      </c>
      <c r="B60" s="153" t="s">
        <v>48</v>
      </c>
      <c r="C60" s="52" t="s">
        <v>64</v>
      </c>
      <c r="D60" s="41"/>
      <c r="E60" s="41"/>
      <c r="F60" s="45"/>
      <c r="G60" s="42"/>
      <c r="H60" s="138" t="str">
        <f t="shared" ref="H60:H63" si="7">C60</f>
        <v>-</v>
      </c>
      <c r="I60" s="43"/>
      <c r="J60" s="43"/>
      <c r="K60" s="43"/>
      <c r="L60" s="44"/>
    </row>
    <row r="61" spans="1:12" ht="30">
      <c r="A61" s="164" t="s">
        <v>74</v>
      </c>
      <c r="B61" s="153" t="s">
        <v>48</v>
      </c>
      <c r="C61" s="52">
        <v>0</v>
      </c>
      <c r="D61" s="41"/>
      <c r="E61" s="41"/>
      <c r="F61" s="45"/>
      <c r="G61" s="42"/>
      <c r="H61" s="138">
        <f t="shared" si="7"/>
        <v>0</v>
      </c>
      <c r="I61" s="43"/>
      <c r="J61" s="43"/>
      <c r="K61" s="43"/>
      <c r="L61" s="44"/>
    </row>
    <row r="62" spans="1:12">
      <c r="A62" s="164" t="s">
        <v>49</v>
      </c>
      <c r="B62" s="153" t="s">
        <v>48</v>
      </c>
      <c r="C62" s="52" t="s">
        <v>64</v>
      </c>
      <c r="D62" s="41"/>
      <c r="E62" s="41"/>
      <c r="F62" s="45"/>
      <c r="G62" s="42"/>
      <c r="H62" s="138" t="str">
        <f t="shared" si="7"/>
        <v>-</v>
      </c>
      <c r="I62" s="43"/>
      <c r="J62" s="43"/>
      <c r="K62" s="43"/>
      <c r="L62" s="44"/>
    </row>
    <row r="63" spans="1:12" ht="16" thickBot="1">
      <c r="A63" s="164" t="s">
        <v>50</v>
      </c>
      <c r="B63" s="153" t="s">
        <v>48</v>
      </c>
      <c r="C63" s="52">
        <v>9.2102400000000006</v>
      </c>
      <c r="D63" s="41"/>
      <c r="E63" s="41"/>
      <c r="F63" s="45"/>
      <c r="G63" s="42"/>
      <c r="H63" s="138">
        <f t="shared" si="7"/>
        <v>9.2102400000000006</v>
      </c>
      <c r="I63" s="43"/>
      <c r="J63" s="43"/>
      <c r="K63" s="43"/>
      <c r="L63" s="44"/>
    </row>
    <row r="64" spans="1:12" s="9" customFormat="1" ht="16" thickBot="1">
      <c r="A64" s="165" t="s">
        <v>51</v>
      </c>
      <c r="B64" s="166"/>
      <c r="C64" s="54"/>
      <c r="D64" s="29"/>
      <c r="E64" s="29"/>
      <c r="F64" s="14"/>
      <c r="G64" s="11"/>
      <c r="H64" s="140"/>
      <c r="I64" s="32"/>
      <c r="J64" s="32"/>
      <c r="K64" s="32"/>
      <c r="L64" s="12"/>
    </row>
    <row r="65" spans="1:12" ht="45">
      <c r="A65" s="164" t="s">
        <v>52</v>
      </c>
      <c r="B65" s="153" t="s">
        <v>48</v>
      </c>
      <c r="C65" s="55">
        <v>0.25</v>
      </c>
      <c r="D65" s="41"/>
      <c r="E65" s="41"/>
      <c r="F65" s="45"/>
      <c r="G65" s="42"/>
      <c r="H65" s="138">
        <v>0</v>
      </c>
      <c r="I65" s="43"/>
      <c r="J65" s="43"/>
      <c r="K65" s="43"/>
      <c r="L65" s="44" t="s">
        <v>191</v>
      </c>
    </row>
    <row r="66" spans="1:12" ht="45">
      <c r="A66" s="164" t="s">
        <v>53</v>
      </c>
      <c r="B66" s="153" t="s">
        <v>48</v>
      </c>
      <c r="C66" s="52" t="s">
        <v>64</v>
      </c>
      <c r="D66" s="41"/>
      <c r="E66" s="41"/>
      <c r="F66" s="45"/>
      <c r="G66" s="42"/>
      <c r="H66" s="138">
        <v>0</v>
      </c>
      <c r="I66" s="43"/>
      <c r="J66" s="43"/>
      <c r="K66" s="43"/>
      <c r="L66" s="44" t="s">
        <v>191</v>
      </c>
    </row>
    <row r="67" spans="1:12">
      <c r="A67" s="170"/>
      <c r="B67" s="169"/>
    </row>
    <row r="68" spans="1:12">
      <c r="A68" s="170"/>
      <c r="B68" s="169"/>
    </row>
    <row r="69" spans="1:12">
      <c r="A69" s="170"/>
      <c r="B69" s="169"/>
    </row>
    <row r="70" spans="1:12">
      <c r="A70" s="170"/>
      <c r="B70" s="169"/>
    </row>
    <row r="71" spans="1:12">
      <c r="A71" s="170"/>
      <c r="B71" s="169"/>
    </row>
    <row r="72" spans="1:12">
      <c r="A72" s="170"/>
      <c r="B72" s="169"/>
    </row>
    <row r="73" spans="1:12">
      <c r="A73" s="170"/>
      <c r="B73" s="169"/>
    </row>
    <row r="74" spans="1:12">
      <c r="A74" s="170"/>
      <c r="B74" s="169"/>
    </row>
    <row r="75" spans="1:12">
      <c r="A75" s="170"/>
      <c r="B75" s="169"/>
    </row>
    <row r="76" spans="1:12">
      <c r="A76" s="170"/>
      <c r="B76" s="169"/>
    </row>
    <row r="77" spans="1:12">
      <c r="A77" s="170"/>
      <c r="B77" s="169"/>
    </row>
    <row r="78" spans="1:12">
      <c r="A78" s="170"/>
      <c r="B78" s="169"/>
    </row>
    <row r="79" spans="1:12">
      <c r="A79" s="170"/>
      <c r="B79" s="169"/>
    </row>
    <row r="80" spans="1:12">
      <c r="A80" s="170"/>
      <c r="B80" s="169"/>
    </row>
    <row r="81" spans="1:2" s="4" customFormat="1">
      <c r="A81" s="170"/>
      <c r="B81" s="169"/>
    </row>
    <row r="82" spans="1:2" s="4" customFormat="1">
      <c r="A82" s="170"/>
      <c r="B82" s="169"/>
    </row>
    <row r="83" spans="1:2" s="4" customFormat="1">
      <c r="A83" s="170"/>
      <c r="B83" s="169"/>
    </row>
    <row r="84" spans="1:2" s="4" customFormat="1">
      <c r="A84" s="170"/>
      <c r="B84" s="169"/>
    </row>
    <row r="85" spans="1:2" s="4" customFormat="1">
      <c r="A85" s="170"/>
      <c r="B85" s="169"/>
    </row>
    <row r="86" spans="1:2" s="4" customFormat="1">
      <c r="A86" s="170"/>
      <c r="B86" s="169"/>
    </row>
    <row r="87" spans="1:2" s="4" customFormat="1">
      <c r="A87" s="170"/>
      <c r="B87" s="169"/>
    </row>
    <row r="88" spans="1:2" s="4" customFormat="1">
      <c r="A88" s="170"/>
      <c r="B88" s="169"/>
    </row>
    <row r="89" spans="1:2" s="4" customFormat="1">
      <c r="A89" s="170"/>
      <c r="B89" s="169"/>
    </row>
    <row r="90" spans="1:2" s="4" customFormat="1">
      <c r="A90" s="170"/>
      <c r="B90" s="169"/>
    </row>
    <row r="91" spans="1:2" s="4" customFormat="1">
      <c r="A91" s="170"/>
      <c r="B91" s="169"/>
    </row>
    <row r="92" spans="1:2" s="4" customFormat="1">
      <c r="A92" s="170"/>
      <c r="B92" s="169"/>
    </row>
    <row r="93" spans="1:2" s="4" customFormat="1">
      <c r="A93" s="170"/>
      <c r="B93" s="169"/>
    </row>
    <row r="94" spans="1:2" s="4" customFormat="1">
      <c r="A94" s="170"/>
      <c r="B94" s="169"/>
    </row>
    <row r="95" spans="1:2" s="4" customFormat="1">
      <c r="A95" s="170"/>
      <c r="B95" s="169"/>
    </row>
    <row r="96" spans="1:2" s="4" customFormat="1">
      <c r="A96" s="170"/>
      <c r="B96" s="169"/>
    </row>
    <row r="97" spans="1:2" s="4" customFormat="1">
      <c r="A97" s="170"/>
      <c r="B97" s="169"/>
    </row>
    <row r="98" spans="1:2" s="4" customFormat="1">
      <c r="A98" s="170"/>
      <c r="B98" s="169"/>
    </row>
    <row r="99" spans="1:2" s="4" customFormat="1">
      <c r="A99" s="170"/>
      <c r="B99" s="169"/>
    </row>
    <row r="100" spans="1:2" s="4" customFormat="1">
      <c r="A100" s="170"/>
      <c r="B100" s="169"/>
    </row>
    <row r="101" spans="1:2" s="4" customFormat="1">
      <c r="A101" s="170"/>
      <c r="B101" s="169"/>
    </row>
    <row r="102" spans="1:2" s="4" customFormat="1">
      <c r="A102" s="170"/>
      <c r="B102" s="169"/>
    </row>
    <row r="103" spans="1:2" s="4" customFormat="1">
      <c r="A103" s="170"/>
      <c r="B103" s="169"/>
    </row>
    <row r="104" spans="1:2" s="4" customFormat="1">
      <c r="A104" s="170"/>
      <c r="B104" s="169"/>
    </row>
    <row r="105" spans="1:2" s="4" customFormat="1">
      <c r="A105" s="170"/>
      <c r="B105" s="169"/>
    </row>
    <row r="106" spans="1:2" s="4" customFormat="1">
      <c r="A106" s="170"/>
      <c r="B106" s="169"/>
    </row>
    <row r="107" spans="1:2" s="4" customFormat="1">
      <c r="A107" s="170"/>
      <c r="B107" s="169"/>
    </row>
    <row r="108" spans="1:2" s="4" customFormat="1">
      <c r="A108" s="170"/>
      <c r="B108" s="169"/>
    </row>
    <row r="109" spans="1:2" s="4" customFormat="1">
      <c r="A109" s="170"/>
      <c r="B109" s="169"/>
    </row>
    <row r="110" spans="1:2" s="4" customFormat="1">
      <c r="A110" s="170"/>
      <c r="B110" s="169"/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L110"/>
  <sheetViews>
    <sheetView workbookViewId="0">
      <selection sqref="A1:XFD1048576"/>
    </sheetView>
  </sheetViews>
  <sheetFormatPr baseColWidth="10" defaultRowHeight="15" x14ac:dyDescent="0"/>
  <cols>
    <col min="1" max="1" width="24" style="13" customWidth="1"/>
    <col min="2" max="2" width="17.1640625" style="26" customWidth="1"/>
    <col min="3" max="3" width="10.83203125" style="47" customWidth="1"/>
    <col min="4" max="5" width="10.83203125" style="26" customWidth="1"/>
    <col min="6" max="6" width="24.83203125" style="26" customWidth="1"/>
    <col min="7" max="7" width="24.83203125" style="34" customWidth="1"/>
    <col min="8" max="10" width="10.83203125" style="35"/>
    <col min="11" max="11" width="24.83203125" style="26" customWidth="1"/>
    <col min="12" max="12" width="24.83203125" style="34" customWidth="1"/>
    <col min="13" max="16384" width="10.83203125" style="4"/>
  </cols>
  <sheetData>
    <row r="1" spans="1:12" s="1" customFormat="1">
      <c r="A1" s="2" t="s">
        <v>7</v>
      </c>
      <c r="B1" s="25"/>
      <c r="C1" s="46"/>
      <c r="D1" s="25"/>
      <c r="E1" s="25"/>
      <c r="F1" s="25"/>
      <c r="G1" s="33"/>
      <c r="H1" s="25"/>
      <c r="I1" s="25"/>
      <c r="J1" s="25"/>
      <c r="K1" s="25"/>
      <c r="L1" s="33"/>
    </row>
    <row r="2" spans="1:12">
      <c r="A2" s="3"/>
    </row>
    <row r="3" spans="1:12">
      <c r="C3" s="48" t="s">
        <v>65</v>
      </c>
      <c r="D3" s="36"/>
      <c r="E3" s="36"/>
      <c r="F3" s="36"/>
      <c r="G3" s="37"/>
      <c r="H3" s="38" t="s">
        <v>66</v>
      </c>
      <c r="I3" s="39"/>
      <c r="J3" s="39"/>
      <c r="K3" s="39"/>
      <c r="L3" s="40"/>
    </row>
    <row r="4" spans="1:12" s="9" customFormat="1" ht="61" thickBot="1">
      <c r="A4" s="162" t="s">
        <v>0</v>
      </c>
      <c r="B4" s="163" t="s">
        <v>1</v>
      </c>
      <c r="C4" s="49" t="s">
        <v>2</v>
      </c>
      <c r="D4" s="5" t="s">
        <v>3</v>
      </c>
      <c r="E4" s="6" t="s">
        <v>4</v>
      </c>
      <c r="F4" s="5" t="s">
        <v>79</v>
      </c>
      <c r="G4" s="6" t="s">
        <v>5</v>
      </c>
      <c r="H4" s="7" t="s">
        <v>2</v>
      </c>
      <c r="I4" s="7" t="s">
        <v>3</v>
      </c>
      <c r="J4" s="7" t="s">
        <v>4</v>
      </c>
      <c r="K4" s="7" t="s">
        <v>79</v>
      </c>
      <c r="L4" s="8" t="s">
        <v>5</v>
      </c>
    </row>
    <row r="5" spans="1:12" s="9" customFormat="1">
      <c r="A5" s="15" t="s">
        <v>62</v>
      </c>
      <c r="B5" s="16" t="s">
        <v>188</v>
      </c>
      <c r="C5" s="50"/>
      <c r="D5" s="27"/>
      <c r="E5" s="27"/>
      <c r="F5" s="17"/>
      <c r="G5" s="18"/>
      <c r="H5" s="30"/>
      <c r="I5" s="30"/>
      <c r="J5" s="30"/>
      <c r="K5" s="30"/>
      <c r="L5" s="19"/>
    </row>
    <row r="6" spans="1:12" s="9" customFormat="1" ht="16" thickBot="1">
      <c r="A6" s="20" t="s">
        <v>54</v>
      </c>
      <c r="B6" s="21" t="s">
        <v>63</v>
      </c>
      <c r="C6" s="51"/>
      <c r="D6" s="28"/>
      <c r="E6" s="28"/>
      <c r="F6" s="22"/>
      <c r="G6" s="23"/>
      <c r="H6" s="31"/>
      <c r="I6" s="31"/>
      <c r="J6" s="31"/>
      <c r="K6" s="31"/>
      <c r="L6" s="24"/>
    </row>
    <row r="7" spans="1:12">
      <c r="A7" s="164" t="s">
        <v>57</v>
      </c>
      <c r="B7" s="153" t="s">
        <v>6</v>
      </c>
      <c r="C7" s="52">
        <v>1</v>
      </c>
      <c r="D7" s="41"/>
      <c r="E7" s="41"/>
      <c r="F7" s="45"/>
      <c r="G7" s="42"/>
      <c r="H7" s="138">
        <f>C7</f>
        <v>1</v>
      </c>
      <c r="I7" s="43"/>
      <c r="J7" s="43"/>
      <c r="K7" s="43"/>
      <c r="L7" s="44"/>
    </row>
    <row r="8" spans="1:12" ht="45">
      <c r="A8" s="164" t="s">
        <v>70</v>
      </c>
      <c r="B8" s="153" t="s">
        <v>171</v>
      </c>
      <c r="C8" s="52">
        <v>40</v>
      </c>
      <c r="D8" s="41"/>
      <c r="E8" s="41"/>
      <c r="F8" s="45"/>
      <c r="G8" s="249" t="s">
        <v>192</v>
      </c>
      <c r="H8" s="139">
        <f>C8*1.1</f>
        <v>44</v>
      </c>
      <c r="I8" s="43"/>
      <c r="J8" s="43"/>
      <c r="K8" s="43"/>
      <c r="L8" s="44"/>
    </row>
    <row r="9" spans="1:12">
      <c r="A9" s="164" t="s">
        <v>72</v>
      </c>
      <c r="B9" s="153" t="s">
        <v>172</v>
      </c>
      <c r="C9" s="52">
        <v>45</v>
      </c>
      <c r="D9" s="41"/>
      <c r="E9" s="41"/>
      <c r="F9" s="45"/>
      <c r="G9" s="42"/>
      <c r="H9" s="138">
        <f>C9/$C$8*$H$8</f>
        <v>49.5</v>
      </c>
      <c r="I9" s="43"/>
      <c r="J9" s="43"/>
      <c r="K9" s="43"/>
      <c r="L9" s="44"/>
    </row>
    <row r="10" spans="1:12" ht="165">
      <c r="A10" s="164" t="s">
        <v>71</v>
      </c>
      <c r="B10" s="153" t="s">
        <v>48</v>
      </c>
      <c r="C10" s="137">
        <f>100*3</f>
        <v>300</v>
      </c>
      <c r="D10" s="41"/>
      <c r="E10" s="41"/>
      <c r="F10" s="56"/>
      <c r="G10" s="42" t="s">
        <v>173</v>
      </c>
      <c r="H10" s="138">
        <f>C10/$C$8*$H$8</f>
        <v>330</v>
      </c>
      <c r="I10" s="43"/>
      <c r="J10" s="43"/>
      <c r="K10" s="43"/>
      <c r="L10" s="44"/>
    </row>
    <row r="11" spans="1:12" ht="16" thickBot="1">
      <c r="A11" s="164" t="s">
        <v>8</v>
      </c>
      <c r="B11" s="153" t="s">
        <v>48</v>
      </c>
      <c r="C11" s="52"/>
      <c r="D11" s="41"/>
      <c r="E11" s="41"/>
      <c r="F11" s="45"/>
      <c r="G11" s="42"/>
      <c r="H11" s="138">
        <f>C11/$C$8*$H$8</f>
        <v>0</v>
      </c>
      <c r="I11" s="43"/>
      <c r="J11" s="43"/>
      <c r="K11" s="43"/>
      <c r="L11" s="44"/>
    </row>
    <row r="12" spans="1:12" s="9" customFormat="1" ht="16" thickBot="1">
      <c r="A12" s="165" t="s">
        <v>9</v>
      </c>
      <c r="B12" s="166"/>
      <c r="C12" s="53"/>
      <c r="D12" s="29"/>
      <c r="E12" s="29"/>
      <c r="F12" s="14"/>
      <c r="G12" s="11"/>
      <c r="H12" s="140"/>
      <c r="I12" s="32"/>
      <c r="J12" s="32"/>
      <c r="K12" s="32"/>
      <c r="L12" s="12"/>
    </row>
    <row r="13" spans="1:12">
      <c r="A13" s="164" t="s">
        <v>80</v>
      </c>
      <c r="B13" s="153" t="s">
        <v>58</v>
      </c>
      <c r="C13" s="52">
        <v>3</v>
      </c>
      <c r="D13" s="41"/>
      <c r="E13" s="41"/>
      <c r="F13" s="45"/>
      <c r="G13" s="42"/>
      <c r="H13" s="138">
        <f>C13</f>
        <v>3</v>
      </c>
      <c r="I13" s="43"/>
      <c r="J13" s="43"/>
      <c r="K13" s="43"/>
      <c r="L13" s="44"/>
    </row>
    <row r="14" spans="1:12" ht="60">
      <c r="A14" s="164" t="s">
        <v>146</v>
      </c>
      <c r="B14" s="153" t="s">
        <v>22</v>
      </c>
      <c r="C14" s="52">
        <v>90</v>
      </c>
      <c r="D14" s="41"/>
      <c r="E14" s="41"/>
      <c r="F14" s="45"/>
      <c r="G14" s="42"/>
      <c r="H14" s="138">
        <f t="shared" ref="H14:H25" si="0">C14</f>
        <v>90</v>
      </c>
      <c r="I14" s="43"/>
      <c r="J14" s="43"/>
      <c r="K14" s="43"/>
      <c r="L14" s="44"/>
    </row>
    <row r="15" spans="1:12">
      <c r="A15" s="164" t="s">
        <v>10</v>
      </c>
      <c r="B15" s="153" t="s">
        <v>59</v>
      </c>
      <c r="C15" s="52">
        <v>1</v>
      </c>
      <c r="D15" s="41"/>
      <c r="E15" s="41"/>
      <c r="F15" s="45"/>
      <c r="G15" s="42"/>
      <c r="H15" s="138">
        <f t="shared" si="0"/>
        <v>1</v>
      </c>
      <c r="I15" s="43"/>
      <c r="J15" s="43"/>
      <c r="K15" s="43"/>
      <c r="L15" s="44"/>
    </row>
    <row r="16" spans="1:12">
      <c r="A16" s="164" t="s">
        <v>68</v>
      </c>
      <c r="B16" s="153" t="s">
        <v>22</v>
      </c>
      <c r="C16" s="52">
        <v>35</v>
      </c>
      <c r="D16" s="41"/>
      <c r="E16" s="41"/>
      <c r="F16" s="45"/>
      <c r="G16" s="42"/>
      <c r="H16" s="138">
        <f t="shared" si="0"/>
        <v>35</v>
      </c>
      <c r="I16" s="43"/>
      <c r="J16" s="43"/>
      <c r="K16" s="43"/>
      <c r="L16" s="44"/>
    </row>
    <row r="17" spans="1:12">
      <c r="A17" s="164" t="s">
        <v>11</v>
      </c>
      <c r="B17" s="153" t="s">
        <v>59</v>
      </c>
      <c r="C17" s="52">
        <v>1</v>
      </c>
      <c r="D17" s="41"/>
      <c r="E17" s="41"/>
      <c r="F17" s="45"/>
      <c r="G17" s="42"/>
      <c r="H17" s="138">
        <f t="shared" si="0"/>
        <v>1</v>
      </c>
      <c r="I17" s="43"/>
      <c r="J17" s="43"/>
      <c r="K17" s="43"/>
      <c r="L17" s="44"/>
    </row>
    <row r="18" spans="1:12">
      <c r="A18" s="164" t="s">
        <v>69</v>
      </c>
      <c r="B18" s="153" t="s">
        <v>22</v>
      </c>
      <c r="C18" s="52">
        <v>70</v>
      </c>
      <c r="D18" s="41"/>
      <c r="E18" s="41"/>
      <c r="F18" s="45"/>
      <c r="G18" s="42"/>
      <c r="H18" s="138">
        <f t="shared" si="0"/>
        <v>70</v>
      </c>
      <c r="I18" s="43"/>
      <c r="J18" s="43"/>
      <c r="K18" s="43"/>
      <c r="L18" s="44"/>
    </row>
    <row r="19" spans="1:12">
      <c r="A19" s="164" t="s">
        <v>12</v>
      </c>
      <c r="B19" s="153" t="s">
        <v>58</v>
      </c>
      <c r="C19" s="52">
        <v>1.5</v>
      </c>
      <c r="D19" s="41"/>
      <c r="E19" s="41"/>
      <c r="F19" s="45"/>
      <c r="G19" s="42"/>
      <c r="H19" s="138">
        <f t="shared" si="0"/>
        <v>1.5</v>
      </c>
      <c r="I19" s="43"/>
      <c r="J19" s="43"/>
      <c r="K19" s="43"/>
      <c r="L19" s="44"/>
    </row>
    <row r="20" spans="1:12">
      <c r="A20" s="164" t="s">
        <v>13</v>
      </c>
      <c r="B20" s="153" t="s">
        <v>60</v>
      </c>
      <c r="C20" s="52">
        <v>45</v>
      </c>
      <c r="D20" s="41"/>
      <c r="E20" s="41"/>
      <c r="F20" s="45"/>
      <c r="G20" s="42"/>
      <c r="H20" s="138">
        <f t="shared" si="0"/>
        <v>45</v>
      </c>
      <c r="I20" s="43"/>
      <c r="J20" s="43"/>
      <c r="K20" s="43"/>
      <c r="L20" s="44"/>
    </row>
    <row r="21" spans="1:12">
      <c r="A21" s="164" t="s">
        <v>14</v>
      </c>
      <c r="B21" s="153" t="s">
        <v>59</v>
      </c>
      <c r="C21" s="52">
        <v>1</v>
      </c>
      <c r="D21" s="41"/>
      <c r="E21" s="41"/>
      <c r="F21" s="45"/>
      <c r="G21" s="42"/>
      <c r="H21" s="138">
        <f t="shared" si="0"/>
        <v>1</v>
      </c>
      <c r="I21" s="43"/>
      <c r="J21" s="43"/>
      <c r="K21" s="43"/>
      <c r="L21" s="44"/>
    </row>
    <row r="22" spans="1:12">
      <c r="A22" s="164" t="s">
        <v>15</v>
      </c>
      <c r="B22" s="153" t="s">
        <v>22</v>
      </c>
      <c r="C22" s="52">
        <v>30</v>
      </c>
      <c r="D22" s="41"/>
      <c r="E22" s="41"/>
      <c r="F22" s="45"/>
      <c r="G22" s="42"/>
      <c r="H22" s="138">
        <f t="shared" si="0"/>
        <v>30</v>
      </c>
      <c r="I22" s="43"/>
      <c r="J22" s="43"/>
      <c r="K22" s="43"/>
      <c r="L22" s="44"/>
    </row>
    <row r="23" spans="1:12">
      <c r="A23" s="164" t="s">
        <v>174</v>
      </c>
      <c r="B23" s="153" t="s">
        <v>59</v>
      </c>
      <c r="C23" s="52">
        <v>0.5</v>
      </c>
      <c r="D23" s="41"/>
      <c r="E23" s="41"/>
      <c r="F23" s="45"/>
      <c r="G23" s="42"/>
      <c r="H23" s="138">
        <f t="shared" si="0"/>
        <v>0.5</v>
      </c>
      <c r="I23" s="43"/>
      <c r="J23" s="43"/>
      <c r="K23" s="43"/>
      <c r="L23" s="44"/>
    </row>
    <row r="24" spans="1:12">
      <c r="A24" s="164" t="s">
        <v>175</v>
      </c>
      <c r="B24" s="153" t="s">
        <v>22</v>
      </c>
      <c r="C24" s="52">
        <v>15</v>
      </c>
      <c r="D24" s="41"/>
      <c r="E24" s="41"/>
      <c r="F24" s="45"/>
      <c r="G24" s="42"/>
      <c r="H24" s="138">
        <f t="shared" si="0"/>
        <v>15</v>
      </c>
      <c r="I24" s="43"/>
      <c r="J24" s="43"/>
      <c r="K24" s="43"/>
      <c r="L24" s="44"/>
    </row>
    <row r="25" spans="1:12" ht="16" thickBot="1">
      <c r="A25" s="167" t="s">
        <v>73</v>
      </c>
      <c r="B25" s="168" t="s">
        <v>22</v>
      </c>
      <c r="C25" s="52"/>
      <c r="D25" s="41"/>
      <c r="E25" s="41"/>
      <c r="F25" s="45"/>
      <c r="G25" s="42"/>
      <c r="H25" s="138">
        <f t="shared" si="0"/>
        <v>0</v>
      </c>
      <c r="I25" s="43"/>
      <c r="J25" s="43"/>
      <c r="K25" s="43"/>
      <c r="L25" s="44"/>
    </row>
    <row r="26" spans="1:12" s="9" customFormat="1" ht="16" thickBot="1">
      <c r="A26" s="165" t="s">
        <v>16</v>
      </c>
      <c r="B26" s="166"/>
      <c r="C26" s="53"/>
      <c r="D26" s="29"/>
      <c r="E26" s="29"/>
      <c r="F26" s="14"/>
      <c r="G26" s="11"/>
      <c r="H26" s="140"/>
      <c r="I26" s="32"/>
      <c r="J26" s="32"/>
      <c r="K26" s="32"/>
      <c r="L26" s="12"/>
    </row>
    <row r="27" spans="1:12">
      <c r="A27" s="164" t="s">
        <v>16</v>
      </c>
      <c r="B27" s="153" t="s">
        <v>24</v>
      </c>
      <c r="C27" s="52">
        <v>170</v>
      </c>
      <c r="D27" s="41"/>
      <c r="E27" s="41"/>
      <c r="F27" s="45"/>
      <c r="G27" s="42"/>
      <c r="H27" s="138">
        <f t="shared" ref="H27:H28" si="1">C27</f>
        <v>170</v>
      </c>
      <c r="I27" s="43"/>
      <c r="J27" s="43"/>
      <c r="K27" s="43"/>
      <c r="L27" s="44"/>
    </row>
    <row r="28" spans="1:12" ht="16" thickBot="1">
      <c r="A28" s="164" t="s">
        <v>17</v>
      </c>
      <c r="B28" s="153" t="s">
        <v>22</v>
      </c>
      <c r="C28" s="52">
        <v>123.2</v>
      </c>
      <c r="D28" s="41"/>
      <c r="E28" s="41"/>
      <c r="F28" s="45"/>
      <c r="G28" s="42"/>
      <c r="H28" s="138">
        <f t="shared" si="1"/>
        <v>123.2</v>
      </c>
      <c r="I28" s="43"/>
      <c r="J28" s="43"/>
      <c r="K28" s="43"/>
      <c r="L28" s="44"/>
    </row>
    <row r="29" spans="1:12" s="9" customFormat="1" ht="16" thickBot="1">
      <c r="A29" s="165" t="s">
        <v>18</v>
      </c>
      <c r="B29" s="166"/>
      <c r="C29" s="53"/>
      <c r="D29" s="29"/>
      <c r="E29" s="29"/>
      <c r="F29" s="14"/>
      <c r="G29" s="11"/>
      <c r="H29" s="140"/>
      <c r="I29" s="32"/>
      <c r="J29" s="32"/>
      <c r="K29" s="32"/>
      <c r="L29" s="12"/>
    </row>
    <row r="30" spans="1:12">
      <c r="A30" s="164" t="s">
        <v>19</v>
      </c>
      <c r="B30" s="153" t="s">
        <v>20</v>
      </c>
      <c r="C30" s="52" t="s">
        <v>64</v>
      </c>
      <c r="D30" s="41"/>
      <c r="E30" s="41"/>
      <c r="F30" s="45"/>
      <c r="G30" s="42"/>
      <c r="H30" s="138" t="str">
        <f t="shared" ref="H30:H37" si="2">C30</f>
        <v>-</v>
      </c>
      <c r="I30" s="43"/>
      <c r="J30" s="43"/>
      <c r="K30" s="43"/>
      <c r="L30" s="44"/>
    </row>
    <row r="31" spans="1:12">
      <c r="A31" s="164" t="s">
        <v>21</v>
      </c>
      <c r="B31" s="153" t="s">
        <v>22</v>
      </c>
      <c r="C31" s="52" t="s">
        <v>64</v>
      </c>
      <c r="D31" s="41"/>
      <c r="E31" s="41"/>
      <c r="F31" s="45"/>
      <c r="G31" s="42"/>
      <c r="H31" s="138" t="str">
        <f t="shared" si="2"/>
        <v>-</v>
      </c>
      <c r="I31" s="43"/>
      <c r="J31" s="43"/>
      <c r="K31" s="43"/>
      <c r="L31" s="44"/>
    </row>
    <row r="32" spans="1:12">
      <c r="A32" s="164" t="s">
        <v>23</v>
      </c>
      <c r="B32" s="153" t="s">
        <v>24</v>
      </c>
      <c r="C32" s="52">
        <v>300</v>
      </c>
      <c r="D32" s="41"/>
      <c r="E32" s="41"/>
      <c r="F32" s="45"/>
      <c r="G32" s="42"/>
      <c r="H32" s="138">
        <f t="shared" si="2"/>
        <v>300</v>
      </c>
      <c r="I32" s="43"/>
      <c r="J32" s="43"/>
      <c r="K32" s="43"/>
      <c r="L32" s="44"/>
    </row>
    <row r="33" spans="1:12">
      <c r="A33" s="164" t="s">
        <v>25</v>
      </c>
      <c r="B33" s="153" t="s">
        <v>22</v>
      </c>
      <c r="C33" s="52">
        <v>126</v>
      </c>
      <c r="D33" s="41"/>
      <c r="E33" s="41"/>
      <c r="F33" s="45"/>
      <c r="G33" s="42"/>
      <c r="H33" s="138">
        <f t="shared" si="2"/>
        <v>126</v>
      </c>
      <c r="I33" s="43"/>
      <c r="J33" s="43"/>
      <c r="K33" s="43"/>
      <c r="L33" s="44"/>
    </row>
    <row r="34" spans="1:12">
      <c r="A34" s="164" t="s">
        <v>26</v>
      </c>
      <c r="B34" s="153" t="s">
        <v>24</v>
      </c>
      <c r="C34" s="52">
        <v>100</v>
      </c>
      <c r="D34" s="41"/>
      <c r="E34" s="41"/>
      <c r="F34" s="45"/>
      <c r="G34" s="42"/>
      <c r="H34" s="138">
        <f t="shared" si="2"/>
        <v>100</v>
      </c>
      <c r="I34" s="43"/>
      <c r="J34" s="43"/>
      <c r="K34" s="43"/>
      <c r="L34" s="44"/>
    </row>
    <row r="35" spans="1:12">
      <c r="A35" s="164" t="s">
        <v>27</v>
      </c>
      <c r="B35" s="153" t="s">
        <v>22</v>
      </c>
      <c r="C35" s="52">
        <v>52</v>
      </c>
      <c r="D35" s="41"/>
      <c r="E35" s="41"/>
      <c r="F35" s="45"/>
      <c r="G35" s="42"/>
      <c r="H35" s="138">
        <f t="shared" si="2"/>
        <v>52</v>
      </c>
      <c r="I35" s="43"/>
      <c r="J35" s="43"/>
      <c r="K35" s="43"/>
      <c r="L35" s="44"/>
    </row>
    <row r="36" spans="1:12">
      <c r="A36" s="164" t="s">
        <v>28</v>
      </c>
      <c r="B36" s="153" t="s">
        <v>24</v>
      </c>
      <c r="C36" s="52">
        <v>0</v>
      </c>
      <c r="D36" s="41"/>
      <c r="E36" s="41"/>
      <c r="F36" s="45"/>
      <c r="G36" s="42"/>
      <c r="H36" s="138">
        <f t="shared" si="2"/>
        <v>0</v>
      </c>
      <c r="I36" s="43"/>
      <c r="J36" s="43"/>
      <c r="K36" s="43"/>
      <c r="L36" s="44"/>
    </row>
    <row r="37" spans="1:12" ht="16" thickBot="1">
      <c r="A37" s="164" t="s">
        <v>29</v>
      </c>
      <c r="B37" s="153" t="s">
        <v>22</v>
      </c>
      <c r="C37" s="52">
        <v>0</v>
      </c>
      <c r="D37" s="41"/>
      <c r="E37" s="41"/>
      <c r="F37" s="45"/>
      <c r="G37" s="42"/>
      <c r="H37" s="138">
        <f t="shared" si="2"/>
        <v>0</v>
      </c>
      <c r="I37" s="43"/>
      <c r="J37" s="43"/>
      <c r="K37" s="43"/>
      <c r="L37" s="44"/>
    </row>
    <row r="38" spans="1:12" s="9" customFormat="1" ht="31" thickBot="1">
      <c r="A38" s="165" t="s">
        <v>30</v>
      </c>
      <c r="B38" s="166"/>
      <c r="C38" s="53"/>
      <c r="D38" s="29"/>
      <c r="E38" s="29"/>
      <c r="F38" s="14"/>
      <c r="G38" s="11"/>
      <c r="H38" s="140"/>
      <c r="I38" s="32"/>
      <c r="J38" s="32"/>
      <c r="K38" s="32"/>
      <c r="L38" s="12"/>
    </row>
    <row r="39" spans="1:12">
      <c r="A39" s="164" t="s">
        <v>31</v>
      </c>
      <c r="B39" s="153" t="s">
        <v>32</v>
      </c>
      <c r="C39" s="52">
        <v>1000</v>
      </c>
      <c r="D39" s="41"/>
      <c r="E39" s="41"/>
      <c r="F39" s="45"/>
      <c r="G39" s="42"/>
      <c r="H39" s="138">
        <f t="shared" ref="H39:H44" si="3">C39</f>
        <v>1000</v>
      </c>
      <c r="I39" s="43"/>
      <c r="J39" s="43"/>
      <c r="K39" s="43"/>
      <c r="L39" s="44"/>
    </row>
    <row r="40" spans="1:12">
      <c r="A40" s="164" t="s">
        <v>33</v>
      </c>
      <c r="B40" s="153" t="s">
        <v>22</v>
      </c>
      <c r="C40" s="52">
        <v>90</v>
      </c>
      <c r="D40" s="41"/>
      <c r="E40" s="41"/>
      <c r="F40" s="45"/>
      <c r="G40" s="42"/>
      <c r="H40" s="138">
        <f t="shared" si="3"/>
        <v>90</v>
      </c>
      <c r="I40" s="43"/>
      <c r="J40" s="43"/>
      <c r="K40" s="43"/>
      <c r="L40" s="44"/>
    </row>
    <row r="41" spans="1:12">
      <c r="A41" s="164" t="s">
        <v>34</v>
      </c>
      <c r="B41" s="153" t="s">
        <v>32</v>
      </c>
      <c r="C41" s="52">
        <v>330</v>
      </c>
      <c r="D41" s="41"/>
      <c r="E41" s="41"/>
      <c r="F41" s="45"/>
      <c r="G41" s="42"/>
      <c r="H41" s="138">
        <f t="shared" si="3"/>
        <v>330</v>
      </c>
      <c r="I41" s="43"/>
      <c r="J41" s="43"/>
      <c r="K41" s="43"/>
      <c r="L41" s="44"/>
    </row>
    <row r="42" spans="1:12">
      <c r="A42" s="164" t="s">
        <v>35</v>
      </c>
      <c r="B42" s="153" t="s">
        <v>22</v>
      </c>
      <c r="C42" s="52">
        <v>99</v>
      </c>
      <c r="D42" s="41"/>
      <c r="E42" s="41"/>
      <c r="F42" s="45"/>
      <c r="G42" s="42"/>
      <c r="H42" s="138">
        <f t="shared" si="3"/>
        <v>99</v>
      </c>
      <c r="I42" s="43"/>
      <c r="J42" s="43"/>
      <c r="K42" s="43"/>
      <c r="L42" s="44"/>
    </row>
    <row r="43" spans="1:12">
      <c r="A43" s="164" t="s">
        <v>36</v>
      </c>
      <c r="B43" s="153" t="s">
        <v>37</v>
      </c>
      <c r="C43" s="52" t="s">
        <v>64</v>
      </c>
      <c r="D43" s="41"/>
      <c r="E43" s="41"/>
      <c r="F43" s="45"/>
      <c r="G43" s="42"/>
      <c r="H43" s="138" t="str">
        <f t="shared" si="3"/>
        <v>-</v>
      </c>
      <c r="I43" s="43"/>
      <c r="J43" s="43"/>
      <c r="K43" s="43"/>
      <c r="L43" s="44"/>
    </row>
    <row r="44" spans="1:12" ht="16" thickBot="1">
      <c r="A44" s="164" t="s">
        <v>38</v>
      </c>
      <c r="B44" s="153" t="s">
        <v>22</v>
      </c>
      <c r="C44" s="52" t="s">
        <v>64</v>
      </c>
      <c r="D44" s="41"/>
      <c r="E44" s="41"/>
      <c r="F44" s="45"/>
      <c r="G44" s="42"/>
      <c r="H44" s="138" t="str">
        <f t="shared" si="3"/>
        <v>-</v>
      </c>
      <c r="I44" s="43"/>
      <c r="J44" s="43"/>
      <c r="K44" s="43"/>
      <c r="L44" s="44"/>
    </row>
    <row r="45" spans="1:12" s="9" customFormat="1" ht="16" thickBot="1">
      <c r="A45" s="165" t="s">
        <v>39</v>
      </c>
      <c r="B45" s="166"/>
      <c r="C45" s="53"/>
      <c r="D45" s="29"/>
      <c r="E45" s="29"/>
      <c r="F45" s="14"/>
      <c r="G45" s="11"/>
      <c r="H45" s="140"/>
      <c r="I45" s="32"/>
      <c r="J45" s="32"/>
      <c r="K45" s="32"/>
      <c r="L45" s="12"/>
    </row>
    <row r="46" spans="1:12">
      <c r="A46" s="164" t="s">
        <v>40</v>
      </c>
      <c r="B46" s="153" t="s">
        <v>41</v>
      </c>
      <c r="C46" s="52">
        <v>0</v>
      </c>
      <c r="D46" s="41"/>
      <c r="E46" s="41"/>
      <c r="F46" s="45"/>
      <c r="G46" s="42"/>
      <c r="H46" s="138">
        <f t="shared" ref="H46:H49" si="4">C46</f>
        <v>0</v>
      </c>
      <c r="I46" s="43"/>
      <c r="J46" s="43"/>
      <c r="K46" s="43"/>
      <c r="L46" s="44"/>
    </row>
    <row r="47" spans="1:12" ht="30">
      <c r="A47" s="164" t="s">
        <v>42</v>
      </c>
      <c r="B47" s="153" t="s">
        <v>22</v>
      </c>
      <c r="C47" s="52">
        <v>0</v>
      </c>
      <c r="D47" s="41"/>
      <c r="E47" s="41"/>
      <c r="F47" s="45"/>
      <c r="G47" s="42"/>
      <c r="H47" s="138">
        <f t="shared" si="4"/>
        <v>0</v>
      </c>
      <c r="I47" s="43"/>
      <c r="J47" s="43"/>
      <c r="K47" s="43"/>
      <c r="L47" s="44"/>
    </row>
    <row r="48" spans="1:12">
      <c r="A48" s="164" t="s">
        <v>76</v>
      </c>
      <c r="B48" s="153" t="s">
        <v>78</v>
      </c>
      <c r="C48" s="52"/>
      <c r="D48" s="41"/>
      <c r="E48" s="41"/>
      <c r="F48" s="45"/>
      <c r="G48" s="42"/>
      <c r="H48" s="138">
        <f t="shared" si="4"/>
        <v>0</v>
      </c>
      <c r="I48" s="43"/>
      <c r="J48" s="43"/>
      <c r="K48" s="43"/>
      <c r="L48" s="44"/>
    </row>
    <row r="49" spans="1:12" ht="31" thickBot="1">
      <c r="A49" s="164" t="s">
        <v>77</v>
      </c>
      <c r="B49" s="153" t="s">
        <v>48</v>
      </c>
      <c r="C49" s="52"/>
      <c r="D49" s="41"/>
      <c r="E49" s="41"/>
      <c r="F49" s="45"/>
      <c r="G49" s="42"/>
      <c r="H49" s="138">
        <f t="shared" si="4"/>
        <v>0</v>
      </c>
      <c r="I49" s="43"/>
      <c r="J49" s="43"/>
      <c r="K49" s="179"/>
      <c r="L49" s="180"/>
    </row>
    <row r="50" spans="1:12" s="9" customFormat="1" ht="16" thickBot="1">
      <c r="A50" s="165" t="s">
        <v>43</v>
      </c>
      <c r="B50" s="166"/>
      <c r="C50" s="53"/>
      <c r="D50" s="29"/>
      <c r="E50" s="29"/>
      <c r="F50" s="14"/>
      <c r="G50" s="11"/>
      <c r="H50" s="140"/>
      <c r="I50" s="32"/>
      <c r="J50" s="32"/>
      <c r="K50" s="32"/>
      <c r="L50" s="12"/>
    </row>
    <row r="51" spans="1:12">
      <c r="A51" s="164" t="s">
        <v>176</v>
      </c>
      <c r="B51" s="153" t="s">
        <v>44</v>
      </c>
      <c r="C51" s="52">
        <v>6</v>
      </c>
      <c r="D51" s="41"/>
      <c r="E51" s="41"/>
      <c r="F51" s="45"/>
      <c r="G51" s="42"/>
      <c r="H51" s="138">
        <f t="shared" ref="H51:H55" si="5">C51</f>
        <v>6</v>
      </c>
      <c r="I51" s="43"/>
      <c r="J51" s="43"/>
      <c r="K51" s="43"/>
      <c r="L51" s="44"/>
    </row>
    <row r="52" spans="1:12" ht="45">
      <c r="A52" s="164" t="s">
        <v>177</v>
      </c>
      <c r="B52" s="153" t="s">
        <v>22</v>
      </c>
      <c r="C52" s="52">
        <v>73.800000000000011</v>
      </c>
      <c r="D52" s="41"/>
      <c r="E52" s="41"/>
      <c r="F52" s="45"/>
      <c r="G52" s="42"/>
      <c r="H52" s="138">
        <f t="shared" si="5"/>
        <v>73.800000000000011</v>
      </c>
      <c r="I52" s="43"/>
      <c r="J52" s="43"/>
      <c r="K52" s="43"/>
      <c r="L52" s="44"/>
    </row>
    <row r="53" spans="1:12">
      <c r="A53" s="164" t="s">
        <v>56</v>
      </c>
      <c r="B53" s="153" t="s">
        <v>44</v>
      </c>
      <c r="C53" s="52" t="s">
        <v>64</v>
      </c>
      <c r="D53" s="41"/>
      <c r="E53" s="41"/>
      <c r="F53" s="45"/>
      <c r="G53" s="42"/>
      <c r="H53" s="138" t="str">
        <f t="shared" si="5"/>
        <v>-</v>
      </c>
      <c r="I53" s="43"/>
      <c r="J53" s="43"/>
      <c r="K53" s="43"/>
      <c r="L53" s="44"/>
    </row>
    <row r="54" spans="1:12" ht="45">
      <c r="A54" s="164" t="s">
        <v>178</v>
      </c>
      <c r="B54" s="153" t="s">
        <v>22</v>
      </c>
      <c r="C54" s="52" t="s">
        <v>64</v>
      </c>
      <c r="D54" s="41"/>
      <c r="E54" s="41"/>
      <c r="F54" s="45"/>
      <c r="G54" s="42"/>
      <c r="H54" s="138" t="str">
        <f t="shared" si="5"/>
        <v>-</v>
      </c>
      <c r="I54" s="43"/>
      <c r="J54" s="43"/>
      <c r="K54" s="43"/>
      <c r="L54" s="44"/>
    </row>
    <row r="55" spans="1:12" ht="16" thickBot="1">
      <c r="A55" s="167" t="s">
        <v>55</v>
      </c>
      <c r="B55" s="168" t="s">
        <v>44</v>
      </c>
      <c r="C55" s="52"/>
      <c r="D55" s="41"/>
      <c r="E55" s="41"/>
      <c r="F55" s="45"/>
      <c r="G55" s="42"/>
      <c r="H55" s="138">
        <f t="shared" si="5"/>
        <v>0</v>
      </c>
      <c r="I55" s="43"/>
      <c r="J55" s="43"/>
      <c r="K55" s="43"/>
      <c r="L55" s="44"/>
    </row>
    <row r="56" spans="1:12" s="9" customFormat="1" ht="16" thickBot="1">
      <c r="A56" s="165" t="s">
        <v>148</v>
      </c>
      <c r="B56" s="166"/>
      <c r="C56" s="53"/>
      <c r="D56" s="29"/>
      <c r="E56" s="29"/>
      <c r="F56" s="14"/>
      <c r="G56" s="11"/>
      <c r="H56" s="140"/>
      <c r="I56" s="32"/>
      <c r="J56" s="32"/>
      <c r="K56" s="32"/>
      <c r="L56" s="12"/>
    </row>
    <row r="57" spans="1:12">
      <c r="A57" s="164" t="s">
        <v>45</v>
      </c>
      <c r="B57" s="153" t="s">
        <v>22</v>
      </c>
      <c r="C57" s="52" t="s">
        <v>64</v>
      </c>
      <c r="D57" s="41"/>
      <c r="E57" s="41"/>
      <c r="F57" s="45"/>
      <c r="G57" s="42"/>
      <c r="H57" s="138" t="str">
        <f t="shared" ref="H57:H58" si="6">C57</f>
        <v>-</v>
      </c>
      <c r="I57" s="43"/>
      <c r="J57" s="43"/>
      <c r="K57" s="43"/>
      <c r="L57" s="44"/>
    </row>
    <row r="58" spans="1:12" ht="16" thickBot="1">
      <c r="A58" s="164" t="s">
        <v>46</v>
      </c>
      <c r="B58" s="153" t="s">
        <v>22</v>
      </c>
      <c r="C58" s="52" t="s">
        <v>64</v>
      </c>
      <c r="D58" s="41"/>
      <c r="E58" s="41"/>
      <c r="F58" s="45"/>
      <c r="G58" s="42"/>
      <c r="H58" s="138" t="str">
        <f t="shared" si="6"/>
        <v>-</v>
      </c>
      <c r="I58" s="43"/>
      <c r="J58" s="43"/>
      <c r="K58" s="43"/>
      <c r="L58" s="44"/>
    </row>
    <row r="59" spans="1:12" s="9" customFormat="1" ht="16" thickBot="1">
      <c r="A59" s="165" t="s">
        <v>47</v>
      </c>
      <c r="B59" s="166"/>
      <c r="C59" s="53"/>
      <c r="D59" s="29"/>
      <c r="E59" s="29"/>
      <c r="F59" s="14"/>
      <c r="G59" s="11"/>
      <c r="H59" s="140"/>
      <c r="I59" s="32"/>
      <c r="J59" s="32"/>
      <c r="K59" s="32"/>
      <c r="L59" s="12"/>
    </row>
    <row r="60" spans="1:12" ht="45">
      <c r="A60" s="164" t="s">
        <v>75</v>
      </c>
      <c r="B60" s="153" t="s">
        <v>48</v>
      </c>
      <c r="C60" s="52" t="s">
        <v>64</v>
      </c>
      <c r="D60" s="41"/>
      <c r="E60" s="41"/>
      <c r="F60" s="45"/>
      <c r="G60" s="42"/>
      <c r="H60" s="138" t="str">
        <f t="shared" ref="H60:H63" si="7">C60</f>
        <v>-</v>
      </c>
      <c r="I60" s="43"/>
      <c r="J60" s="43"/>
      <c r="K60" s="43"/>
      <c r="L60" s="44"/>
    </row>
    <row r="61" spans="1:12" ht="30">
      <c r="A61" s="164" t="s">
        <v>74</v>
      </c>
      <c r="B61" s="153" t="s">
        <v>48</v>
      </c>
      <c r="C61" s="52"/>
      <c r="D61" s="41"/>
      <c r="E61" s="41"/>
      <c r="F61" s="45"/>
      <c r="G61" s="42"/>
      <c r="H61" s="138">
        <f t="shared" si="7"/>
        <v>0</v>
      </c>
      <c r="I61" s="43"/>
      <c r="J61" s="43"/>
      <c r="K61" s="43"/>
      <c r="L61" s="44"/>
    </row>
    <row r="62" spans="1:12">
      <c r="A62" s="164" t="s">
        <v>49</v>
      </c>
      <c r="B62" s="153" t="s">
        <v>48</v>
      </c>
      <c r="C62" s="52" t="s">
        <v>64</v>
      </c>
      <c r="D62" s="41"/>
      <c r="E62" s="41"/>
      <c r="F62" s="45"/>
      <c r="G62" s="42"/>
      <c r="H62" s="138" t="str">
        <f t="shared" si="7"/>
        <v>-</v>
      </c>
      <c r="I62" s="43"/>
      <c r="J62" s="43"/>
      <c r="K62" s="43"/>
      <c r="L62" s="44"/>
    </row>
    <row r="63" spans="1:12" ht="16" thickBot="1">
      <c r="A63" s="164" t="s">
        <v>50</v>
      </c>
      <c r="B63" s="153" t="s">
        <v>48</v>
      </c>
      <c r="C63" s="52">
        <v>9.2102400000000006</v>
      </c>
      <c r="D63" s="41"/>
      <c r="E63" s="41"/>
      <c r="F63" s="45"/>
      <c r="G63" s="42"/>
      <c r="H63" s="138">
        <f t="shared" si="7"/>
        <v>9.2102400000000006</v>
      </c>
      <c r="I63" s="43"/>
      <c r="J63" s="43"/>
      <c r="K63" s="43"/>
      <c r="L63" s="44"/>
    </row>
    <row r="64" spans="1:12" s="9" customFormat="1" ht="16" thickBot="1">
      <c r="A64" s="165" t="s">
        <v>51</v>
      </c>
      <c r="B64" s="166"/>
      <c r="C64" s="54"/>
      <c r="D64" s="29"/>
      <c r="E64" s="29"/>
      <c r="F64" s="14"/>
      <c r="G64" s="11"/>
      <c r="H64" s="140"/>
      <c r="I64" s="32"/>
      <c r="J64" s="32"/>
      <c r="K64" s="32"/>
      <c r="L64" s="12"/>
    </row>
    <row r="65" spans="1:12" ht="45">
      <c r="A65" s="164" t="s">
        <v>52</v>
      </c>
      <c r="B65" s="153" t="s">
        <v>48</v>
      </c>
      <c r="C65" s="55">
        <v>0.25</v>
      </c>
      <c r="D65" s="41"/>
      <c r="E65" s="41"/>
      <c r="F65" s="45"/>
      <c r="G65" s="42"/>
      <c r="H65" s="138">
        <v>0</v>
      </c>
      <c r="I65" s="43"/>
      <c r="J65" s="43"/>
      <c r="K65" s="43"/>
      <c r="L65" s="44" t="s">
        <v>191</v>
      </c>
    </row>
    <row r="66" spans="1:12" ht="45">
      <c r="A66" s="164" t="s">
        <v>53</v>
      </c>
      <c r="B66" s="153" t="s">
        <v>48</v>
      </c>
      <c r="C66" s="52" t="s">
        <v>64</v>
      </c>
      <c r="D66" s="41"/>
      <c r="E66" s="41"/>
      <c r="F66" s="45"/>
      <c r="G66" s="42"/>
      <c r="H66" s="138">
        <v>0</v>
      </c>
      <c r="I66" s="43"/>
      <c r="J66" s="43"/>
      <c r="K66" s="43"/>
      <c r="L66" s="44" t="s">
        <v>191</v>
      </c>
    </row>
    <row r="67" spans="1:12">
      <c r="A67" s="170"/>
      <c r="B67" s="169"/>
    </row>
    <row r="68" spans="1:12">
      <c r="A68" s="170"/>
      <c r="B68" s="169"/>
    </row>
    <row r="69" spans="1:12">
      <c r="A69" s="170"/>
      <c r="B69" s="169"/>
    </row>
    <row r="70" spans="1:12">
      <c r="A70" s="170"/>
      <c r="B70" s="169"/>
    </row>
    <row r="71" spans="1:12">
      <c r="A71" s="170"/>
      <c r="B71" s="169"/>
    </row>
    <row r="72" spans="1:12">
      <c r="A72" s="170"/>
      <c r="B72" s="169"/>
    </row>
    <row r="73" spans="1:12">
      <c r="A73" s="170"/>
      <c r="B73" s="169"/>
    </row>
    <row r="74" spans="1:12">
      <c r="A74" s="170"/>
      <c r="B74" s="169"/>
    </row>
    <row r="75" spans="1:12">
      <c r="A75" s="170"/>
      <c r="B75" s="169"/>
    </row>
    <row r="76" spans="1:12">
      <c r="A76" s="170"/>
      <c r="B76" s="169"/>
    </row>
    <row r="77" spans="1:12">
      <c r="A77" s="170"/>
      <c r="B77" s="169"/>
    </row>
    <row r="78" spans="1:12">
      <c r="A78" s="170"/>
      <c r="B78" s="169"/>
    </row>
    <row r="79" spans="1:12">
      <c r="A79" s="170"/>
      <c r="B79" s="169"/>
    </row>
    <row r="80" spans="1:12">
      <c r="A80" s="170"/>
      <c r="B80" s="169"/>
    </row>
    <row r="81" spans="1:2" s="4" customFormat="1">
      <c r="A81" s="170"/>
      <c r="B81" s="169"/>
    </row>
    <row r="82" spans="1:2" s="4" customFormat="1">
      <c r="A82" s="170"/>
      <c r="B82" s="169"/>
    </row>
    <row r="83" spans="1:2" s="4" customFormat="1">
      <c r="A83" s="170"/>
      <c r="B83" s="169"/>
    </row>
    <row r="84" spans="1:2" s="4" customFormat="1">
      <c r="A84" s="170"/>
      <c r="B84" s="169"/>
    </row>
    <row r="85" spans="1:2" s="4" customFormat="1">
      <c r="A85" s="170"/>
      <c r="B85" s="169"/>
    </row>
    <row r="86" spans="1:2" s="4" customFormat="1">
      <c r="A86" s="170"/>
      <c r="B86" s="169"/>
    </row>
    <row r="87" spans="1:2" s="4" customFormat="1">
      <c r="A87" s="170"/>
      <c r="B87" s="169"/>
    </row>
    <row r="88" spans="1:2" s="4" customFormat="1">
      <c r="A88" s="170"/>
      <c r="B88" s="169"/>
    </row>
    <row r="89" spans="1:2" s="4" customFormat="1">
      <c r="A89" s="170"/>
      <c r="B89" s="169"/>
    </row>
    <row r="90" spans="1:2" s="4" customFormat="1">
      <c r="A90" s="170"/>
      <c r="B90" s="169"/>
    </row>
    <row r="91" spans="1:2" s="4" customFormat="1">
      <c r="A91" s="170"/>
      <c r="B91" s="169"/>
    </row>
    <row r="92" spans="1:2" s="4" customFormat="1">
      <c r="A92" s="170"/>
      <c r="B92" s="169"/>
    </row>
    <row r="93" spans="1:2" s="4" customFormat="1">
      <c r="A93" s="170"/>
      <c r="B93" s="169"/>
    </row>
    <row r="94" spans="1:2" s="4" customFormat="1">
      <c r="A94" s="170"/>
      <c r="B94" s="169"/>
    </row>
    <row r="95" spans="1:2" s="4" customFormat="1">
      <c r="A95" s="170"/>
      <c r="B95" s="169"/>
    </row>
    <row r="96" spans="1:2" s="4" customFormat="1">
      <c r="A96" s="170"/>
      <c r="B96" s="169"/>
    </row>
    <row r="97" spans="1:2" s="4" customFormat="1">
      <c r="A97" s="170"/>
      <c r="B97" s="169"/>
    </row>
    <row r="98" spans="1:2" s="4" customFormat="1">
      <c r="A98" s="170"/>
      <c r="B98" s="169"/>
    </row>
    <row r="99" spans="1:2" s="4" customFormat="1">
      <c r="A99" s="170"/>
      <c r="B99" s="169"/>
    </row>
    <row r="100" spans="1:2" s="4" customFormat="1">
      <c r="A100" s="170"/>
      <c r="B100" s="169"/>
    </row>
    <row r="101" spans="1:2" s="4" customFormat="1">
      <c r="A101" s="170"/>
      <c r="B101" s="169"/>
    </row>
    <row r="102" spans="1:2" s="4" customFormat="1">
      <c r="A102" s="170"/>
      <c r="B102" s="169"/>
    </row>
    <row r="103" spans="1:2" s="4" customFormat="1">
      <c r="A103" s="170"/>
      <c r="B103" s="169"/>
    </row>
    <row r="104" spans="1:2" s="4" customFormat="1">
      <c r="A104" s="170"/>
      <c r="B104" s="169"/>
    </row>
    <row r="105" spans="1:2" s="4" customFormat="1">
      <c r="A105" s="170"/>
      <c r="B105" s="169"/>
    </row>
    <row r="106" spans="1:2" s="4" customFormat="1">
      <c r="A106" s="170"/>
      <c r="B106" s="169"/>
    </row>
    <row r="107" spans="1:2" s="4" customFormat="1">
      <c r="A107" s="170"/>
      <c r="B107" s="169"/>
    </row>
    <row r="108" spans="1:2" s="4" customFormat="1">
      <c r="A108" s="170"/>
      <c r="B108" s="169"/>
    </row>
    <row r="109" spans="1:2" s="4" customFormat="1">
      <c r="A109" s="170"/>
      <c r="B109" s="169"/>
    </row>
    <row r="110" spans="1:2" s="4" customFormat="1">
      <c r="A110" s="170"/>
      <c r="B110" s="169"/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L110"/>
  <sheetViews>
    <sheetView workbookViewId="0">
      <selection sqref="A1:XFD1048576"/>
    </sheetView>
  </sheetViews>
  <sheetFormatPr baseColWidth="10" defaultRowHeight="15" x14ac:dyDescent="0"/>
  <cols>
    <col min="1" max="1" width="24" style="13" customWidth="1"/>
    <col min="2" max="2" width="17.1640625" style="26" customWidth="1"/>
    <col min="3" max="3" width="10.83203125" style="47" customWidth="1"/>
    <col min="4" max="5" width="10.83203125" style="26" customWidth="1"/>
    <col min="6" max="6" width="24.83203125" style="26" customWidth="1"/>
    <col min="7" max="7" width="24.83203125" style="34" customWidth="1"/>
    <col min="8" max="10" width="10.83203125" style="35"/>
    <col min="11" max="11" width="24.83203125" style="26" customWidth="1"/>
    <col min="12" max="12" width="24.83203125" style="34" customWidth="1"/>
    <col min="13" max="16384" width="10.83203125" style="4"/>
  </cols>
  <sheetData>
    <row r="1" spans="1:12" s="1" customFormat="1">
      <c r="A1" s="2" t="s">
        <v>7</v>
      </c>
      <c r="B1" s="25"/>
      <c r="C1" s="46"/>
      <c r="D1" s="25"/>
      <c r="E1" s="25"/>
      <c r="F1" s="25"/>
      <c r="G1" s="33"/>
      <c r="H1" s="25"/>
      <c r="I1" s="25"/>
      <c r="J1" s="25"/>
      <c r="K1" s="25"/>
      <c r="L1" s="33"/>
    </row>
    <row r="2" spans="1:12">
      <c r="A2" s="3"/>
    </row>
    <row r="3" spans="1:12">
      <c r="C3" s="48" t="s">
        <v>65</v>
      </c>
      <c r="D3" s="36"/>
      <c r="E3" s="36"/>
      <c r="F3" s="36"/>
      <c r="G3" s="37"/>
      <c r="H3" s="38" t="s">
        <v>66</v>
      </c>
      <c r="I3" s="39"/>
      <c r="J3" s="39"/>
      <c r="K3" s="39"/>
      <c r="L3" s="40"/>
    </row>
    <row r="4" spans="1:12" s="9" customFormat="1" ht="61" thickBot="1">
      <c r="A4" s="162" t="s">
        <v>0</v>
      </c>
      <c r="B4" s="163" t="s">
        <v>1</v>
      </c>
      <c r="C4" s="49" t="s">
        <v>2</v>
      </c>
      <c r="D4" s="5" t="s">
        <v>3</v>
      </c>
      <c r="E4" s="6" t="s">
        <v>4</v>
      </c>
      <c r="F4" s="5" t="s">
        <v>79</v>
      </c>
      <c r="G4" s="6" t="s">
        <v>5</v>
      </c>
      <c r="H4" s="7" t="s">
        <v>2</v>
      </c>
      <c r="I4" s="7" t="s">
        <v>3</v>
      </c>
      <c r="J4" s="7" t="s">
        <v>4</v>
      </c>
      <c r="K4" s="7" t="s">
        <v>79</v>
      </c>
      <c r="L4" s="8" t="s">
        <v>5</v>
      </c>
    </row>
    <row r="5" spans="1:12" s="9" customFormat="1">
      <c r="A5" s="15" t="s">
        <v>62</v>
      </c>
      <c r="B5" s="16" t="s">
        <v>188</v>
      </c>
      <c r="C5" s="50"/>
      <c r="D5" s="27"/>
      <c r="E5" s="27"/>
      <c r="F5" s="17"/>
      <c r="G5" s="18"/>
      <c r="H5" s="30"/>
      <c r="I5" s="30"/>
      <c r="J5" s="30"/>
      <c r="K5" s="30"/>
      <c r="L5" s="19"/>
    </row>
    <row r="6" spans="1:12" s="9" customFormat="1" ht="16" thickBot="1">
      <c r="A6" s="20" t="s">
        <v>54</v>
      </c>
      <c r="B6" s="21" t="s">
        <v>67</v>
      </c>
      <c r="C6" s="51"/>
      <c r="D6" s="28"/>
      <c r="E6" s="28"/>
      <c r="F6" s="22"/>
      <c r="G6" s="23"/>
      <c r="H6" s="31"/>
      <c r="I6" s="31"/>
      <c r="J6" s="31"/>
      <c r="K6" s="31"/>
      <c r="L6" s="24"/>
    </row>
    <row r="7" spans="1:12">
      <c r="A7" s="164" t="s">
        <v>57</v>
      </c>
      <c r="B7" s="153" t="s">
        <v>6</v>
      </c>
      <c r="C7" s="52">
        <v>1</v>
      </c>
      <c r="D7" s="41"/>
      <c r="E7" s="41"/>
      <c r="F7" s="45"/>
      <c r="G7" s="42"/>
      <c r="H7" s="138">
        <f>C7</f>
        <v>1</v>
      </c>
      <c r="I7" s="43"/>
      <c r="J7" s="43"/>
      <c r="K7" s="43"/>
      <c r="L7" s="44"/>
    </row>
    <row r="8" spans="1:12" ht="45">
      <c r="A8" s="164" t="s">
        <v>70</v>
      </c>
      <c r="B8" s="153" t="s">
        <v>171</v>
      </c>
      <c r="C8" s="52">
        <v>30</v>
      </c>
      <c r="D8" s="41"/>
      <c r="E8" s="41"/>
      <c r="F8" s="45"/>
      <c r="G8" s="57" t="s">
        <v>81</v>
      </c>
      <c r="H8" s="139">
        <f>C8*1.1</f>
        <v>33</v>
      </c>
      <c r="I8" s="43"/>
      <c r="J8" s="43"/>
      <c r="K8" s="43"/>
      <c r="L8" s="44"/>
    </row>
    <row r="9" spans="1:12">
      <c r="A9" s="164" t="s">
        <v>72</v>
      </c>
      <c r="B9" s="153" t="s">
        <v>172</v>
      </c>
      <c r="C9" s="52">
        <v>40</v>
      </c>
      <c r="D9" s="41"/>
      <c r="E9" s="41"/>
      <c r="F9" s="45"/>
      <c r="G9" s="42"/>
      <c r="H9" s="138">
        <f>C9/$C$8*$H$8</f>
        <v>44</v>
      </c>
      <c r="I9" s="43"/>
      <c r="J9" s="43"/>
      <c r="K9" s="43"/>
      <c r="L9" s="44"/>
    </row>
    <row r="10" spans="1:12" ht="165">
      <c r="A10" s="164" t="s">
        <v>71</v>
      </c>
      <c r="B10" s="153" t="s">
        <v>48</v>
      </c>
      <c r="C10" s="137">
        <f>100*3</f>
        <v>300</v>
      </c>
      <c r="D10" s="41"/>
      <c r="E10" s="41"/>
      <c r="F10" s="56"/>
      <c r="G10" s="42" t="s">
        <v>173</v>
      </c>
      <c r="H10" s="138">
        <f>C10/$C$8*$H$8</f>
        <v>330</v>
      </c>
      <c r="I10" s="43"/>
      <c r="J10" s="43"/>
      <c r="K10" s="43"/>
      <c r="L10" s="44"/>
    </row>
    <row r="11" spans="1:12" ht="16" thickBot="1">
      <c r="A11" s="164" t="s">
        <v>8</v>
      </c>
      <c r="B11" s="153" t="s">
        <v>48</v>
      </c>
      <c r="C11" s="52">
        <v>0</v>
      </c>
      <c r="D11" s="41"/>
      <c r="E11" s="41"/>
      <c r="F11" s="45"/>
      <c r="G11" s="42"/>
      <c r="H11" s="138">
        <f>C11/$C$8*$H$8</f>
        <v>0</v>
      </c>
      <c r="I11" s="43"/>
      <c r="J11" s="43"/>
      <c r="K11" s="43"/>
      <c r="L11" s="44"/>
    </row>
    <row r="12" spans="1:12" s="9" customFormat="1" ht="16" thickBot="1">
      <c r="A12" s="165" t="s">
        <v>9</v>
      </c>
      <c r="B12" s="166"/>
      <c r="C12" s="53"/>
      <c r="D12" s="29"/>
      <c r="E12" s="29"/>
      <c r="F12" s="14"/>
      <c r="G12" s="11"/>
      <c r="H12" s="140"/>
      <c r="I12" s="32"/>
      <c r="J12" s="32"/>
      <c r="K12" s="32"/>
      <c r="L12" s="12"/>
    </row>
    <row r="13" spans="1:12">
      <c r="A13" s="164" t="s">
        <v>80</v>
      </c>
      <c r="B13" s="153" t="s">
        <v>58</v>
      </c>
      <c r="C13" s="52">
        <v>3</v>
      </c>
      <c r="D13" s="41"/>
      <c r="E13" s="41"/>
      <c r="F13" s="45"/>
      <c r="G13" s="42"/>
      <c r="H13" s="138">
        <f>C13</f>
        <v>3</v>
      </c>
      <c r="I13" s="43"/>
      <c r="J13" s="43"/>
      <c r="K13" s="43"/>
      <c r="L13" s="44"/>
    </row>
    <row r="14" spans="1:12" ht="60">
      <c r="A14" s="164" t="s">
        <v>146</v>
      </c>
      <c r="B14" s="153" t="s">
        <v>22</v>
      </c>
      <c r="C14" s="52">
        <v>90</v>
      </c>
      <c r="D14" s="41"/>
      <c r="E14" s="41"/>
      <c r="F14" s="45"/>
      <c r="G14" s="42"/>
      <c r="H14" s="138">
        <f t="shared" ref="H14:H25" si="0">C14</f>
        <v>90</v>
      </c>
      <c r="I14" s="43"/>
      <c r="J14" s="43"/>
      <c r="K14" s="43"/>
      <c r="L14" s="44"/>
    </row>
    <row r="15" spans="1:12">
      <c r="A15" s="164" t="s">
        <v>10</v>
      </c>
      <c r="B15" s="153" t="s">
        <v>59</v>
      </c>
      <c r="C15" s="52">
        <v>1</v>
      </c>
      <c r="D15" s="41"/>
      <c r="E15" s="41"/>
      <c r="F15" s="45"/>
      <c r="G15" s="42"/>
      <c r="H15" s="138">
        <f t="shared" si="0"/>
        <v>1</v>
      </c>
      <c r="I15" s="43"/>
      <c r="J15" s="43"/>
      <c r="K15" s="43"/>
      <c r="L15" s="44"/>
    </row>
    <row r="16" spans="1:12">
      <c r="A16" s="164" t="s">
        <v>68</v>
      </c>
      <c r="B16" s="153" t="s">
        <v>22</v>
      </c>
      <c r="C16" s="52">
        <v>30</v>
      </c>
      <c r="D16" s="41"/>
      <c r="E16" s="41"/>
      <c r="F16" s="45"/>
      <c r="G16" s="42"/>
      <c r="H16" s="138">
        <f t="shared" si="0"/>
        <v>30</v>
      </c>
      <c r="I16" s="43"/>
      <c r="J16" s="43"/>
      <c r="K16" s="43"/>
      <c r="L16" s="44"/>
    </row>
    <row r="17" spans="1:12">
      <c r="A17" s="164" t="s">
        <v>11</v>
      </c>
      <c r="B17" s="153" t="s">
        <v>59</v>
      </c>
      <c r="C17" s="52">
        <v>1</v>
      </c>
      <c r="D17" s="41"/>
      <c r="E17" s="41"/>
      <c r="F17" s="45"/>
      <c r="G17" s="42"/>
      <c r="H17" s="138">
        <f t="shared" si="0"/>
        <v>1</v>
      </c>
      <c r="I17" s="43"/>
      <c r="J17" s="43"/>
      <c r="K17" s="43"/>
      <c r="L17" s="44"/>
    </row>
    <row r="18" spans="1:12">
      <c r="A18" s="164" t="s">
        <v>69</v>
      </c>
      <c r="B18" s="153" t="s">
        <v>22</v>
      </c>
      <c r="C18" s="52">
        <v>70</v>
      </c>
      <c r="D18" s="41"/>
      <c r="E18" s="41"/>
      <c r="F18" s="45"/>
      <c r="G18" s="42"/>
      <c r="H18" s="138">
        <f t="shared" si="0"/>
        <v>70</v>
      </c>
      <c r="I18" s="43"/>
      <c r="J18" s="43"/>
      <c r="K18" s="43"/>
      <c r="L18" s="44"/>
    </row>
    <row r="19" spans="1:12">
      <c r="A19" s="164" t="s">
        <v>12</v>
      </c>
      <c r="B19" s="153" t="s">
        <v>58</v>
      </c>
      <c r="C19" s="52">
        <v>1</v>
      </c>
      <c r="D19" s="41"/>
      <c r="E19" s="41"/>
      <c r="F19" s="45"/>
      <c r="G19" s="42"/>
      <c r="H19" s="138">
        <f t="shared" si="0"/>
        <v>1</v>
      </c>
      <c r="I19" s="43"/>
      <c r="J19" s="43"/>
      <c r="K19" s="43"/>
      <c r="L19" s="44"/>
    </row>
    <row r="20" spans="1:12">
      <c r="A20" s="164" t="s">
        <v>13</v>
      </c>
      <c r="B20" s="153" t="s">
        <v>60</v>
      </c>
      <c r="C20" s="52">
        <v>30</v>
      </c>
      <c r="D20" s="41"/>
      <c r="E20" s="41"/>
      <c r="F20" s="45"/>
      <c r="G20" s="42"/>
      <c r="H20" s="138">
        <f t="shared" si="0"/>
        <v>30</v>
      </c>
      <c r="I20" s="43"/>
      <c r="J20" s="43"/>
      <c r="K20" s="43"/>
      <c r="L20" s="44"/>
    </row>
    <row r="21" spans="1:12">
      <c r="A21" s="164" t="s">
        <v>14</v>
      </c>
      <c r="B21" s="153" t="s">
        <v>59</v>
      </c>
      <c r="C21" s="52">
        <v>0.5</v>
      </c>
      <c r="D21" s="41"/>
      <c r="E21" s="41"/>
      <c r="F21" s="45"/>
      <c r="G21" s="42"/>
      <c r="H21" s="138">
        <f t="shared" si="0"/>
        <v>0.5</v>
      </c>
      <c r="I21" s="43"/>
      <c r="J21" s="43"/>
      <c r="K21" s="43"/>
      <c r="L21" s="44"/>
    </row>
    <row r="22" spans="1:12">
      <c r="A22" s="164" t="s">
        <v>15</v>
      </c>
      <c r="B22" s="153" t="s">
        <v>22</v>
      </c>
      <c r="C22" s="52">
        <v>15</v>
      </c>
      <c r="D22" s="41"/>
      <c r="E22" s="41"/>
      <c r="F22" s="45"/>
      <c r="G22" s="42"/>
      <c r="H22" s="138">
        <f t="shared" si="0"/>
        <v>15</v>
      </c>
      <c r="I22" s="43"/>
      <c r="J22" s="43"/>
      <c r="K22" s="43"/>
      <c r="L22" s="44"/>
    </row>
    <row r="23" spans="1:12">
      <c r="A23" s="164" t="s">
        <v>174</v>
      </c>
      <c r="B23" s="153" t="s">
        <v>59</v>
      </c>
      <c r="C23" s="52">
        <v>0.5</v>
      </c>
      <c r="D23" s="41"/>
      <c r="E23" s="41"/>
      <c r="F23" s="45"/>
      <c r="G23" s="42"/>
      <c r="H23" s="138">
        <f t="shared" si="0"/>
        <v>0.5</v>
      </c>
      <c r="I23" s="43"/>
      <c r="J23" s="43"/>
      <c r="K23" s="43"/>
      <c r="L23" s="44"/>
    </row>
    <row r="24" spans="1:12">
      <c r="A24" s="164" t="s">
        <v>175</v>
      </c>
      <c r="B24" s="153" t="s">
        <v>22</v>
      </c>
      <c r="C24" s="52">
        <v>15</v>
      </c>
      <c r="D24" s="41"/>
      <c r="E24" s="41"/>
      <c r="F24" s="45"/>
      <c r="G24" s="42"/>
      <c r="H24" s="138">
        <f t="shared" si="0"/>
        <v>15</v>
      </c>
      <c r="I24" s="43"/>
      <c r="J24" s="43"/>
      <c r="K24" s="43"/>
      <c r="L24" s="44"/>
    </row>
    <row r="25" spans="1:12" ht="16" thickBot="1">
      <c r="A25" s="167" t="s">
        <v>73</v>
      </c>
      <c r="B25" s="168" t="s">
        <v>22</v>
      </c>
      <c r="C25" s="52">
        <v>0</v>
      </c>
      <c r="D25" s="41"/>
      <c r="E25" s="41"/>
      <c r="F25" s="45"/>
      <c r="G25" s="42"/>
      <c r="H25" s="138">
        <f t="shared" si="0"/>
        <v>0</v>
      </c>
      <c r="I25" s="43"/>
      <c r="J25" s="43"/>
      <c r="K25" s="43"/>
      <c r="L25" s="44"/>
    </row>
    <row r="26" spans="1:12" s="9" customFormat="1" ht="16" thickBot="1">
      <c r="A26" s="165" t="s">
        <v>16</v>
      </c>
      <c r="B26" s="166"/>
      <c r="C26" s="53"/>
      <c r="D26" s="29"/>
      <c r="E26" s="29"/>
      <c r="F26" s="14"/>
      <c r="G26" s="11"/>
      <c r="H26" s="140"/>
      <c r="I26" s="32"/>
      <c r="J26" s="32"/>
      <c r="K26" s="32"/>
      <c r="L26" s="12"/>
    </row>
    <row r="27" spans="1:12">
      <c r="A27" s="164" t="s">
        <v>16</v>
      </c>
      <c r="B27" s="153" t="s">
        <v>24</v>
      </c>
      <c r="C27" s="52">
        <v>100</v>
      </c>
      <c r="D27" s="41"/>
      <c r="E27" s="41"/>
      <c r="F27" s="45"/>
      <c r="G27" s="42"/>
      <c r="H27" s="138">
        <f t="shared" ref="H27:H28" si="1">C27</f>
        <v>100</v>
      </c>
      <c r="I27" s="43"/>
      <c r="J27" s="43"/>
      <c r="K27" s="43"/>
      <c r="L27" s="44"/>
    </row>
    <row r="28" spans="1:12" ht="16" thickBot="1">
      <c r="A28" s="164" t="s">
        <v>17</v>
      </c>
      <c r="B28" s="153" t="s">
        <v>22</v>
      </c>
      <c r="C28" s="52">
        <v>40</v>
      </c>
      <c r="D28" s="41"/>
      <c r="E28" s="41"/>
      <c r="F28" s="45"/>
      <c r="G28" s="42"/>
      <c r="H28" s="138">
        <f t="shared" si="1"/>
        <v>40</v>
      </c>
      <c r="I28" s="43"/>
      <c r="J28" s="43"/>
      <c r="K28" s="43"/>
      <c r="L28" s="44"/>
    </row>
    <row r="29" spans="1:12" s="9" customFormat="1" ht="16" thickBot="1">
      <c r="A29" s="165" t="s">
        <v>18</v>
      </c>
      <c r="B29" s="166"/>
      <c r="C29" s="53"/>
      <c r="D29" s="29"/>
      <c r="E29" s="29"/>
      <c r="F29" s="14"/>
      <c r="G29" s="11"/>
      <c r="H29" s="140"/>
      <c r="I29" s="32"/>
      <c r="J29" s="32"/>
      <c r="K29" s="32"/>
      <c r="L29" s="12"/>
    </row>
    <row r="30" spans="1:12">
      <c r="A30" s="164" t="s">
        <v>19</v>
      </c>
      <c r="B30" s="153" t="s">
        <v>20</v>
      </c>
      <c r="C30" s="52" t="s">
        <v>64</v>
      </c>
      <c r="D30" s="41"/>
      <c r="E30" s="41"/>
      <c r="F30" s="45"/>
      <c r="G30" s="42"/>
      <c r="H30" s="138" t="str">
        <f t="shared" ref="H30:H37" si="2">C30</f>
        <v>-</v>
      </c>
      <c r="I30" s="43"/>
      <c r="J30" s="43"/>
      <c r="K30" s="43"/>
      <c r="L30" s="44"/>
    </row>
    <row r="31" spans="1:12">
      <c r="A31" s="164" t="s">
        <v>21</v>
      </c>
      <c r="B31" s="153" t="s">
        <v>22</v>
      </c>
      <c r="C31" s="52" t="s">
        <v>64</v>
      </c>
      <c r="D31" s="41"/>
      <c r="E31" s="41"/>
      <c r="F31" s="45"/>
      <c r="G31" s="42"/>
      <c r="H31" s="138" t="str">
        <f t="shared" si="2"/>
        <v>-</v>
      </c>
      <c r="I31" s="43"/>
      <c r="J31" s="43"/>
      <c r="K31" s="43"/>
      <c r="L31" s="44"/>
    </row>
    <row r="32" spans="1:12">
      <c r="A32" s="164" t="s">
        <v>23</v>
      </c>
      <c r="B32" s="153" t="s">
        <v>24</v>
      </c>
      <c r="C32" s="52">
        <v>150</v>
      </c>
      <c r="D32" s="41"/>
      <c r="E32" s="41"/>
      <c r="F32" s="45"/>
      <c r="G32" s="42"/>
      <c r="H32" s="138">
        <f t="shared" si="2"/>
        <v>150</v>
      </c>
      <c r="I32" s="43"/>
      <c r="J32" s="43"/>
      <c r="K32" s="43"/>
      <c r="L32" s="44"/>
    </row>
    <row r="33" spans="1:12">
      <c r="A33" s="164" t="s">
        <v>25</v>
      </c>
      <c r="B33" s="153" t="s">
        <v>22</v>
      </c>
      <c r="C33" s="52">
        <v>63</v>
      </c>
      <c r="D33" s="41"/>
      <c r="E33" s="41"/>
      <c r="F33" s="45"/>
      <c r="G33" s="42"/>
      <c r="H33" s="138">
        <f t="shared" si="2"/>
        <v>63</v>
      </c>
      <c r="I33" s="43"/>
      <c r="J33" s="43"/>
      <c r="K33" s="43"/>
      <c r="L33" s="44"/>
    </row>
    <row r="34" spans="1:12">
      <c r="A34" s="164" t="s">
        <v>26</v>
      </c>
      <c r="B34" s="153" t="s">
        <v>24</v>
      </c>
      <c r="C34" s="52">
        <v>100</v>
      </c>
      <c r="D34" s="41"/>
      <c r="E34" s="41"/>
      <c r="F34" s="45"/>
      <c r="G34" s="42"/>
      <c r="H34" s="138">
        <f t="shared" si="2"/>
        <v>100</v>
      </c>
      <c r="I34" s="43"/>
      <c r="J34" s="43"/>
      <c r="K34" s="43"/>
      <c r="L34" s="44"/>
    </row>
    <row r="35" spans="1:12">
      <c r="A35" s="164" t="s">
        <v>27</v>
      </c>
      <c r="B35" s="153" t="s">
        <v>22</v>
      </c>
      <c r="C35" s="52">
        <v>52</v>
      </c>
      <c r="D35" s="41"/>
      <c r="E35" s="41"/>
      <c r="F35" s="45"/>
      <c r="G35" s="42"/>
      <c r="H35" s="138">
        <f t="shared" si="2"/>
        <v>52</v>
      </c>
      <c r="I35" s="43"/>
      <c r="J35" s="43"/>
      <c r="K35" s="43"/>
      <c r="L35" s="44"/>
    </row>
    <row r="36" spans="1:12">
      <c r="A36" s="164" t="s">
        <v>28</v>
      </c>
      <c r="B36" s="153" t="s">
        <v>24</v>
      </c>
      <c r="C36" s="52">
        <v>0</v>
      </c>
      <c r="D36" s="41"/>
      <c r="E36" s="41"/>
      <c r="F36" s="45"/>
      <c r="G36" s="42"/>
      <c r="H36" s="138">
        <f t="shared" si="2"/>
        <v>0</v>
      </c>
      <c r="I36" s="43"/>
      <c r="J36" s="43"/>
      <c r="K36" s="43"/>
      <c r="L36" s="44"/>
    </row>
    <row r="37" spans="1:12" ht="16" thickBot="1">
      <c r="A37" s="164" t="s">
        <v>29</v>
      </c>
      <c r="B37" s="153" t="s">
        <v>22</v>
      </c>
      <c r="C37" s="52">
        <v>0</v>
      </c>
      <c r="D37" s="41"/>
      <c r="E37" s="41"/>
      <c r="F37" s="45"/>
      <c r="G37" s="42"/>
      <c r="H37" s="138">
        <f t="shared" si="2"/>
        <v>0</v>
      </c>
      <c r="I37" s="43"/>
      <c r="J37" s="43"/>
      <c r="K37" s="43"/>
      <c r="L37" s="44"/>
    </row>
    <row r="38" spans="1:12" s="9" customFormat="1" ht="31" thickBot="1">
      <c r="A38" s="165" t="s">
        <v>30</v>
      </c>
      <c r="B38" s="166"/>
      <c r="C38" s="53"/>
      <c r="D38" s="29"/>
      <c r="E38" s="29"/>
      <c r="F38" s="14"/>
      <c r="G38" s="11"/>
      <c r="H38" s="140"/>
      <c r="I38" s="32"/>
      <c r="J38" s="32"/>
      <c r="K38" s="32"/>
      <c r="L38" s="12"/>
    </row>
    <row r="39" spans="1:12">
      <c r="A39" s="164" t="s">
        <v>31</v>
      </c>
      <c r="B39" s="153" t="s">
        <v>32</v>
      </c>
      <c r="C39" s="52">
        <v>750</v>
      </c>
      <c r="D39" s="41"/>
      <c r="E39" s="41"/>
      <c r="F39" s="45"/>
      <c r="G39" s="42"/>
      <c r="H39" s="138">
        <f t="shared" ref="H39:H44" si="3">C39</f>
        <v>750</v>
      </c>
      <c r="I39" s="43"/>
      <c r="J39" s="43"/>
      <c r="K39" s="43"/>
      <c r="L39" s="44"/>
    </row>
    <row r="40" spans="1:12">
      <c r="A40" s="164" t="s">
        <v>33</v>
      </c>
      <c r="B40" s="153" t="s">
        <v>22</v>
      </c>
      <c r="C40" s="52">
        <v>67.5</v>
      </c>
      <c r="D40" s="41"/>
      <c r="E40" s="41"/>
      <c r="F40" s="45"/>
      <c r="G40" s="42"/>
      <c r="H40" s="138">
        <f t="shared" si="3"/>
        <v>67.5</v>
      </c>
      <c r="I40" s="43"/>
      <c r="J40" s="43"/>
      <c r="K40" s="43"/>
      <c r="L40" s="44"/>
    </row>
    <row r="41" spans="1:12">
      <c r="A41" s="164" t="s">
        <v>34</v>
      </c>
      <c r="B41" s="153" t="s">
        <v>32</v>
      </c>
      <c r="C41" s="52">
        <v>1400</v>
      </c>
      <c r="D41" s="41"/>
      <c r="E41" s="41"/>
      <c r="F41" s="45"/>
      <c r="G41" s="42"/>
      <c r="H41" s="138">
        <f t="shared" si="3"/>
        <v>1400</v>
      </c>
      <c r="I41" s="43"/>
      <c r="J41" s="43"/>
      <c r="K41" s="43"/>
      <c r="L41" s="44"/>
    </row>
    <row r="42" spans="1:12">
      <c r="A42" s="164" t="s">
        <v>35</v>
      </c>
      <c r="B42" s="153" t="s">
        <v>22</v>
      </c>
      <c r="C42" s="52">
        <v>0</v>
      </c>
      <c r="D42" s="41"/>
      <c r="E42" s="41"/>
      <c r="F42" s="45"/>
      <c r="G42" s="42"/>
      <c r="H42" s="138">
        <f t="shared" si="3"/>
        <v>0</v>
      </c>
      <c r="I42" s="43"/>
      <c r="J42" s="43"/>
      <c r="K42" s="43"/>
      <c r="L42" s="44"/>
    </row>
    <row r="43" spans="1:12">
      <c r="A43" s="164" t="s">
        <v>36</v>
      </c>
      <c r="B43" s="153" t="s">
        <v>37</v>
      </c>
      <c r="C43" s="52" t="s">
        <v>64</v>
      </c>
      <c r="D43" s="41"/>
      <c r="E43" s="41"/>
      <c r="F43" s="45"/>
      <c r="G43" s="42"/>
      <c r="H43" s="138" t="str">
        <f t="shared" si="3"/>
        <v>-</v>
      </c>
      <c r="I43" s="43"/>
      <c r="J43" s="43"/>
      <c r="K43" s="43"/>
      <c r="L43" s="44"/>
    </row>
    <row r="44" spans="1:12" ht="16" thickBot="1">
      <c r="A44" s="164" t="s">
        <v>38</v>
      </c>
      <c r="B44" s="153" t="s">
        <v>22</v>
      </c>
      <c r="C44" s="52" t="s">
        <v>64</v>
      </c>
      <c r="D44" s="41"/>
      <c r="E44" s="41"/>
      <c r="F44" s="45"/>
      <c r="G44" s="42"/>
      <c r="H44" s="138" t="str">
        <f t="shared" si="3"/>
        <v>-</v>
      </c>
      <c r="I44" s="43"/>
      <c r="J44" s="43"/>
      <c r="K44" s="43"/>
      <c r="L44" s="44"/>
    </row>
    <row r="45" spans="1:12" s="9" customFormat="1" ht="16" thickBot="1">
      <c r="A45" s="165" t="s">
        <v>39</v>
      </c>
      <c r="B45" s="166"/>
      <c r="C45" s="53"/>
      <c r="D45" s="29"/>
      <c r="E45" s="29"/>
      <c r="F45" s="14"/>
      <c r="G45" s="11"/>
      <c r="H45" s="140"/>
      <c r="I45" s="32"/>
      <c r="J45" s="32"/>
      <c r="K45" s="32"/>
      <c r="L45" s="12"/>
    </row>
    <row r="46" spans="1:12">
      <c r="A46" s="164" t="s">
        <v>40</v>
      </c>
      <c r="B46" s="153" t="s">
        <v>41</v>
      </c>
      <c r="C46" s="52">
        <v>0</v>
      </c>
      <c r="D46" s="41"/>
      <c r="E46" s="41"/>
      <c r="F46" s="45"/>
      <c r="G46" s="42"/>
      <c r="H46" s="138">
        <f t="shared" ref="H46:H49" si="4">C46</f>
        <v>0</v>
      </c>
      <c r="I46" s="43"/>
      <c r="J46" s="43"/>
      <c r="K46" s="43"/>
      <c r="L46" s="44"/>
    </row>
    <row r="47" spans="1:12" ht="30">
      <c r="A47" s="164" t="s">
        <v>42</v>
      </c>
      <c r="B47" s="153" t="s">
        <v>22</v>
      </c>
      <c r="C47" s="52">
        <v>0</v>
      </c>
      <c r="D47" s="41"/>
      <c r="E47" s="41"/>
      <c r="F47" s="45"/>
      <c r="G47" s="42"/>
      <c r="H47" s="138">
        <f t="shared" si="4"/>
        <v>0</v>
      </c>
      <c r="I47" s="43"/>
      <c r="J47" s="43"/>
      <c r="K47" s="43"/>
      <c r="L47" s="44"/>
    </row>
    <row r="48" spans="1:12">
      <c r="A48" s="164" t="s">
        <v>76</v>
      </c>
      <c r="B48" s="153" t="s">
        <v>78</v>
      </c>
      <c r="C48" s="52">
        <v>0</v>
      </c>
      <c r="D48" s="41"/>
      <c r="E48" s="41"/>
      <c r="F48" s="45"/>
      <c r="G48" s="42"/>
      <c r="H48" s="138">
        <f t="shared" si="4"/>
        <v>0</v>
      </c>
      <c r="I48" s="43"/>
      <c r="J48" s="43"/>
      <c r="K48" s="43"/>
      <c r="L48" s="44"/>
    </row>
    <row r="49" spans="1:12" ht="31" thickBot="1">
      <c r="A49" s="164" t="s">
        <v>77</v>
      </c>
      <c r="B49" s="153" t="s">
        <v>48</v>
      </c>
      <c r="C49" s="52">
        <v>0</v>
      </c>
      <c r="D49" s="41"/>
      <c r="E49" s="41"/>
      <c r="F49" s="45"/>
      <c r="G49" s="42"/>
      <c r="H49" s="138">
        <f t="shared" si="4"/>
        <v>0</v>
      </c>
      <c r="I49" s="43"/>
      <c r="J49" s="43"/>
      <c r="K49" s="179"/>
      <c r="L49" s="180"/>
    </row>
    <row r="50" spans="1:12" s="9" customFormat="1" ht="16" thickBot="1">
      <c r="A50" s="165" t="s">
        <v>43</v>
      </c>
      <c r="B50" s="166"/>
      <c r="C50" s="53"/>
      <c r="D50" s="29"/>
      <c r="E50" s="29"/>
      <c r="F50" s="14"/>
      <c r="G50" s="11"/>
      <c r="H50" s="140"/>
      <c r="I50" s="32"/>
      <c r="J50" s="32"/>
      <c r="K50" s="32"/>
      <c r="L50" s="12"/>
    </row>
    <row r="51" spans="1:12">
      <c r="A51" s="164" t="s">
        <v>176</v>
      </c>
      <c r="B51" s="153" t="s">
        <v>44</v>
      </c>
      <c r="C51" s="52">
        <v>5</v>
      </c>
      <c r="D51" s="41"/>
      <c r="E51" s="41"/>
      <c r="F51" s="45"/>
      <c r="G51" s="42"/>
      <c r="H51" s="138">
        <f t="shared" ref="H51:H55" si="5">C51</f>
        <v>5</v>
      </c>
      <c r="I51" s="43"/>
      <c r="J51" s="43"/>
      <c r="K51" s="43"/>
      <c r="L51" s="44"/>
    </row>
    <row r="52" spans="1:12" ht="45">
      <c r="A52" s="164" t="s">
        <v>177</v>
      </c>
      <c r="B52" s="153" t="s">
        <v>22</v>
      </c>
      <c r="C52" s="52">
        <v>61.5</v>
      </c>
      <c r="D52" s="41"/>
      <c r="E52" s="41"/>
      <c r="F52" s="45"/>
      <c r="G52" s="42"/>
      <c r="H52" s="138">
        <f t="shared" si="5"/>
        <v>61.5</v>
      </c>
      <c r="I52" s="43"/>
      <c r="J52" s="43"/>
      <c r="K52" s="43"/>
      <c r="L52" s="44"/>
    </row>
    <row r="53" spans="1:12">
      <c r="A53" s="164" t="s">
        <v>56</v>
      </c>
      <c r="B53" s="153" t="s">
        <v>44</v>
      </c>
      <c r="C53" s="52" t="s">
        <v>64</v>
      </c>
      <c r="D53" s="41"/>
      <c r="E53" s="41"/>
      <c r="F53" s="45"/>
      <c r="G53" s="42"/>
      <c r="H53" s="138" t="str">
        <f t="shared" si="5"/>
        <v>-</v>
      </c>
      <c r="I53" s="43"/>
      <c r="J53" s="43"/>
      <c r="K53" s="43"/>
      <c r="L53" s="44"/>
    </row>
    <row r="54" spans="1:12" ht="45">
      <c r="A54" s="164" t="s">
        <v>178</v>
      </c>
      <c r="B54" s="153" t="s">
        <v>22</v>
      </c>
      <c r="C54" s="52" t="s">
        <v>64</v>
      </c>
      <c r="D54" s="41"/>
      <c r="E54" s="41"/>
      <c r="F54" s="45"/>
      <c r="G54" s="42"/>
      <c r="H54" s="138" t="str">
        <f t="shared" si="5"/>
        <v>-</v>
      </c>
      <c r="I54" s="43"/>
      <c r="J54" s="43"/>
      <c r="K54" s="43"/>
      <c r="L54" s="44"/>
    </row>
    <row r="55" spans="1:12" ht="16" thickBot="1">
      <c r="A55" s="167" t="s">
        <v>55</v>
      </c>
      <c r="B55" s="168" t="s">
        <v>44</v>
      </c>
      <c r="C55" s="52">
        <v>0</v>
      </c>
      <c r="D55" s="41"/>
      <c r="E55" s="41"/>
      <c r="F55" s="45"/>
      <c r="G55" s="42"/>
      <c r="H55" s="138">
        <f t="shared" si="5"/>
        <v>0</v>
      </c>
      <c r="I55" s="43"/>
      <c r="J55" s="43"/>
      <c r="K55" s="43"/>
      <c r="L55" s="44"/>
    </row>
    <row r="56" spans="1:12" s="9" customFormat="1" ht="16" thickBot="1">
      <c r="A56" s="165" t="s">
        <v>148</v>
      </c>
      <c r="B56" s="166"/>
      <c r="C56" s="53"/>
      <c r="D56" s="29"/>
      <c r="E56" s="29"/>
      <c r="F56" s="14"/>
      <c r="G56" s="11"/>
      <c r="H56" s="140"/>
      <c r="I56" s="32"/>
      <c r="J56" s="32"/>
      <c r="K56" s="32"/>
      <c r="L56" s="12"/>
    </row>
    <row r="57" spans="1:12">
      <c r="A57" s="164" t="s">
        <v>45</v>
      </c>
      <c r="B57" s="153" t="s">
        <v>22</v>
      </c>
      <c r="C57" s="52" t="s">
        <v>64</v>
      </c>
      <c r="D57" s="41"/>
      <c r="E57" s="41"/>
      <c r="F57" s="45"/>
      <c r="G57" s="42"/>
      <c r="H57" s="138" t="str">
        <f t="shared" ref="H57:H58" si="6">C57</f>
        <v>-</v>
      </c>
      <c r="I57" s="43"/>
      <c r="J57" s="43"/>
      <c r="K57" s="43"/>
      <c r="L57" s="44"/>
    </row>
    <row r="58" spans="1:12" ht="16" thickBot="1">
      <c r="A58" s="164" t="s">
        <v>46</v>
      </c>
      <c r="B58" s="153" t="s">
        <v>22</v>
      </c>
      <c r="C58" s="52" t="s">
        <v>64</v>
      </c>
      <c r="D58" s="41"/>
      <c r="E58" s="41"/>
      <c r="F58" s="45"/>
      <c r="G58" s="42"/>
      <c r="H58" s="138" t="str">
        <f t="shared" si="6"/>
        <v>-</v>
      </c>
      <c r="I58" s="43"/>
      <c r="J58" s="43"/>
      <c r="K58" s="43"/>
      <c r="L58" s="44"/>
    </row>
    <row r="59" spans="1:12" s="9" customFormat="1" ht="16" thickBot="1">
      <c r="A59" s="165" t="s">
        <v>47</v>
      </c>
      <c r="B59" s="166"/>
      <c r="C59" s="53"/>
      <c r="D59" s="29"/>
      <c r="E59" s="29"/>
      <c r="F59" s="14"/>
      <c r="G59" s="11"/>
      <c r="H59" s="140"/>
      <c r="I59" s="32"/>
      <c r="J59" s="32"/>
      <c r="K59" s="32"/>
      <c r="L59" s="12"/>
    </row>
    <row r="60" spans="1:12" ht="45">
      <c r="A60" s="164" t="s">
        <v>75</v>
      </c>
      <c r="B60" s="153" t="s">
        <v>48</v>
      </c>
      <c r="C60" s="52" t="s">
        <v>64</v>
      </c>
      <c r="D60" s="41"/>
      <c r="E60" s="41"/>
      <c r="F60" s="45"/>
      <c r="G60" s="42"/>
      <c r="H60" s="138" t="str">
        <f t="shared" ref="H60:H63" si="7">C60</f>
        <v>-</v>
      </c>
      <c r="I60" s="43"/>
      <c r="J60" s="43"/>
      <c r="K60" s="43"/>
      <c r="L60" s="44"/>
    </row>
    <row r="61" spans="1:12" ht="30">
      <c r="A61" s="164" t="s">
        <v>74</v>
      </c>
      <c r="B61" s="153" t="s">
        <v>48</v>
      </c>
      <c r="C61" s="52">
        <v>0</v>
      </c>
      <c r="D61" s="41"/>
      <c r="E61" s="41"/>
      <c r="F61" s="45"/>
      <c r="G61" s="42"/>
      <c r="H61" s="138">
        <f t="shared" si="7"/>
        <v>0</v>
      </c>
      <c r="I61" s="43"/>
      <c r="J61" s="43"/>
      <c r="K61" s="43"/>
      <c r="L61" s="44"/>
    </row>
    <row r="62" spans="1:12">
      <c r="A62" s="164" t="s">
        <v>49</v>
      </c>
      <c r="B62" s="153" t="s">
        <v>48</v>
      </c>
      <c r="C62" s="52" t="s">
        <v>64</v>
      </c>
      <c r="D62" s="41"/>
      <c r="E62" s="41"/>
      <c r="F62" s="45"/>
      <c r="G62" s="42"/>
      <c r="H62" s="138" t="str">
        <f t="shared" si="7"/>
        <v>-</v>
      </c>
      <c r="I62" s="43"/>
      <c r="J62" s="43"/>
      <c r="K62" s="43"/>
      <c r="L62" s="44"/>
    </row>
    <row r="63" spans="1:12" ht="16" thickBot="1">
      <c r="A63" s="164" t="s">
        <v>50</v>
      </c>
      <c r="B63" s="153" t="s">
        <v>48</v>
      </c>
      <c r="C63" s="52">
        <v>7.6752000000000011</v>
      </c>
      <c r="D63" s="41"/>
      <c r="E63" s="41"/>
      <c r="F63" s="45"/>
      <c r="G63" s="42"/>
      <c r="H63" s="138">
        <f t="shared" si="7"/>
        <v>7.6752000000000011</v>
      </c>
      <c r="I63" s="43"/>
      <c r="J63" s="43"/>
      <c r="K63" s="43"/>
      <c r="L63" s="44"/>
    </row>
    <row r="64" spans="1:12" s="9" customFormat="1" ht="16" thickBot="1">
      <c r="A64" s="165" t="s">
        <v>51</v>
      </c>
      <c r="B64" s="166"/>
      <c r="C64" s="54"/>
      <c r="D64" s="29"/>
      <c r="E64" s="29"/>
      <c r="F64" s="14"/>
      <c r="G64" s="11"/>
      <c r="H64" s="140"/>
      <c r="I64" s="32"/>
      <c r="J64" s="32"/>
      <c r="K64" s="32"/>
      <c r="L64" s="12"/>
    </row>
    <row r="65" spans="1:12" ht="45">
      <c r="A65" s="164" t="s">
        <v>52</v>
      </c>
      <c r="B65" s="153" t="s">
        <v>48</v>
      </c>
      <c r="C65" s="55">
        <v>0.25</v>
      </c>
      <c r="D65" s="41"/>
      <c r="E65" s="41"/>
      <c r="F65" s="45"/>
      <c r="G65" s="42"/>
      <c r="H65" s="138">
        <v>0</v>
      </c>
      <c r="I65" s="43"/>
      <c r="J65" s="43"/>
      <c r="K65" s="43"/>
      <c r="L65" s="44" t="s">
        <v>191</v>
      </c>
    </row>
    <row r="66" spans="1:12" ht="45">
      <c r="A66" s="164" t="s">
        <v>53</v>
      </c>
      <c r="B66" s="153" t="s">
        <v>48</v>
      </c>
      <c r="C66" s="52" t="s">
        <v>64</v>
      </c>
      <c r="D66" s="41"/>
      <c r="E66" s="41"/>
      <c r="F66" s="45"/>
      <c r="G66" s="42"/>
      <c r="H66" s="138">
        <v>0</v>
      </c>
      <c r="I66" s="43"/>
      <c r="J66" s="43"/>
      <c r="K66" s="43"/>
      <c r="L66" s="44" t="s">
        <v>191</v>
      </c>
    </row>
    <row r="67" spans="1:12">
      <c r="A67" s="170"/>
      <c r="B67" s="169"/>
    </row>
    <row r="68" spans="1:12">
      <c r="A68" s="170"/>
      <c r="B68" s="169"/>
    </row>
    <row r="69" spans="1:12">
      <c r="A69" s="170"/>
      <c r="B69" s="169"/>
    </row>
    <row r="70" spans="1:12">
      <c r="A70" s="170"/>
      <c r="B70" s="169"/>
    </row>
    <row r="71" spans="1:12">
      <c r="A71" s="170"/>
      <c r="B71" s="169"/>
    </row>
    <row r="72" spans="1:12">
      <c r="A72" s="170"/>
      <c r="B72" s="169"/>
    </row>
    <row r="73" spans="1:12">
      <c r="A73" s="170"/>
      <c r="B73" s="169"/>
    </row>
    <row r="74" spans="1:12">
      <c r="A74" s="170"/>
      <c r="B74" s="169"/>
    </row>
    <row r="75" spans="1:12">
      <c r="A75" s="170"/>
      <c r="B75" s="169"/>
    </row>
    <row r="76" spans="1:12">
      <c r="A76" s="170"/>
      <c r="B76" s="169"/>
    </row>
    <row r="77" spans="1:12">
      <c r="A77" s="170"/>
      <c r="B77" s="169"/>
    </row>
    <row r="78" spans="1:12">
      <c r="A78" s="170"/>
      <c r="B78" s="169"/>
    </row>
    <row r="79" spans="1:12">
      <c r="A79" s="170"/>
      <c r="B79" s="169"/>
    </row>
    <row r="80" spans="1:12">
      <c r="A80" s="170"/>
      <c r="B80" s="169"/>
    </row>
    <row r="81" spans="1:2" s="4" customFormat="1">
      <c r="A81" s="170"/>
      <c r="B81" s="169"/>
    </row>
    <row r="82" spans="1:2" s="4" customFormat="1">
      <c r="A82" s="170"/>
      <c r="B82" s="169"/>
    </row>
    <row r="83" spans="1:2" s="4" customFormat="1">
      <c r="A83" s="170"/>
      <c r="B83" s="169"/>
    </row>
    <row r="84" spans="1:2" s="4" customFormat="1">
      <c r="A84" s="170"/>
      <c r="B84" s="169"/>
    </row>
    <row r="85" spans="1:2" s="4" customFormat="1">
      <c r="A85" s="170"/>
      <c r="B85" s="169"/>
    </row>
    <row r="86" spans="1:2" s="4" customFormat="1">
      <c r="A86" s="170"/>
      <c r="B86" s="169"/>
    </row>
    <row r="87" spans="1:2" s="4" customFormat="1">
      <c r="A87" s="170"/>
      <c r="B87" s="169"/>
    </row>
    <row r="88" spans="1:2" s="4" customFormat="1">
      <c r="A88" s="170"/>
      <c r="B88" s="169"/>
    </row>
    <row r="89" spans="1:2" s="4" customFormat="1">
      <c r="A89" s="170"/>
      <c r="B89" s="169"/>
    </row>
    <row r="90" spans="1:2" s="4" customFormat="1">
      <c r="A90" s="170"/>
      <c r="B90" s="169"/>
    </row>
    <row r="91" spans="1:2" s="4" customFormat="1">
      <c r="A91" s="170"/>
      <c r="B91" s="169"/>
    </row>
    <row r="92" spans="1:2" s="4" customFormat="1">
      <c r="A92" s="170"/>
      <c r="B92" s="169"/>
    </row>
    <row r="93" spans="1:2" s="4" customFormat="1">
      <c r="A93" s="170"/>
      <c r="B93" s="169"/>
    </row>
    <row r="94" spans="1:2" s="4" customFormat="1">
      <c r="A94" s="170"/>
      <c r="B94" s="169"/>
    </row>
    <row r="95" spans="1:2" s="4" customFormat="1">
      <c r="A95" s="170"/>
      <c r="B95" s="169"/>
    </row>
    <row r="96" spans="1:2" s="4" customFormat="1">
      <c r="A96" s="170"/>
      <c r="B96" s="169"/>
    </row>
    <row r="97" spans="1:2" s="4" customFormat="1">
      <c r="A97" s="170"/>
      <c r="B97" s="169"/>
    </row>
    <row r="98" spans="1:2" s="4" customFormat="1">
      <c r="A98" s="170"/>
      <c r="B98" s="169"/>
    </row>
    <row r="99" spans="1:2" s="4" customFormat="1">
      <c r="A99" s="170"/>
      <c r="B99" s="169"/>
    </row>
    <row r="100" spans="1:2" s="4" customFormat="1">
      <c r="A100" s="170"/>
      <c r="B100" s="169"/>
    </row>
    <row r="101" spans="1:2" s="4" customFormat="1">
      <c r="A101" s="170"/>
      <c r="B101" s="169"/>
    </row>
    <row r="102" spans="1:2" s="4" customFormat="1">
      <c r="A102" s="170"/>
      <c r="B102" s="169"/>
    </row>
    <row r="103" spans="1:2" s="4" customFormat="1">
      <c r="A103" s="170"/>
      <c r="B103" s="169"/>
    </row>
    <row r="104" spans="1:2" s="4" customFormat="1">
      <c r="A104" s="170"/>
      <c r="B104" s="169"/>
    </row>
    <row r="105" spans="1:2" s="4" customFormat="1">
      <c r="A105" s="170"/>
      <c r="B105" s="169"/>
    </row>
    <row r="106" spans="1:2" s="4" customFormat="1">
      <c r="A106" s="170"/>
      <c r="B106" s="169"/>
    </row>
    <row r="107" spans="1:2" s="4" customFormat="1">
      <c r="A107" s="170"/>
      <c r="B107" s="169"/>
    </row>
    <row r="108" spans="1:2" s="4" customFormat="1">
      <c r="A108" s="170"/>
      <c r="B108" s="169"/>
    </row>
    <row r="109" spans="1:2" s="4" customFormat="1">
      <c r="A109" s="170"/>
      <c r="B109" s="169"/>
    </row>
    <row r="110" spans="1:2" s="4" customFormat="1">
      <c r="A110" s="170"/>
      <c r="B110" s="169"/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N110"/>
  <sheetViews>
    <sheetView topLeftCell="A45" workbookViewId="0">
      <selection activeCell="L53" sqref="L53"/>
    </sheetView>
  </sheetViews>
  <sheetFormatPr baseColWidth="10" defaultRowHeight="15" x14ac:dyDescent="0"/>
  <cols>
    <col min="1" max="1" width="24" style="13" customWidth="1"/>
    <col min="2" max="2" width="17.1640625" style="26" customWidth="1"/>
    <col min="3" max="5" width="10.83203125" style="125" customWidth="1"/>
    <col min="6" max="6" width="17.83203125" style="125" customWidth="1"/>
    <col min="7" max="7" width="39.83203125" style="126" customWidth="1"/>
    <col min="8" max="10" width="10.83203125" style="4"/>
    <col min="11" max="11" width="17.83203125" style="125" customWidth="1"/>
    <col min="12" max="12" width="19.6640625" style="126" customWidth="1"/>
    <col min="13" max="16384" width="10.83203125" style="4"/>
  </cols>
  <sheetData>
    <row r="1" spans="1:12" s="1" customFormat="1">
      <c r="A1" s="2" t="s">
        <v>7</v>
      </c>
      <c r="B1" s="25"/>
      <c r="G1" s="124"/>
      <c r="L1" s="124"/>
    </row>
    <row r="2" spans="1:12">
      <c r="A2" s="3"/>
    </row>
    <row r="3" spans="1:12">
      <c r="C3" s="127" t="s">
        <v>65</v>
      </c>
      <c r="D3" s="128"/>
      <c r="E3" s="128"/>
      <c r="F3" s="128"/>
      <c r="G3" s="129"/>
      <c r="H3" s="130" t="s">
        <v>66</v>
      </c>
      <c r="I3" s="131"/>
      <c r="J3" s="131"/>
      <c r="K3" s="131"/>
      <c r="L3" s="132"/>
    </row>
    <row r="4" spans="1:12" s="9" customFormat="1" ht="91" thickBot="1">
      <c r="A4" s="162" t="s">
        <v>0</v>
      </c>
      <c r="B4" s="163" t="s">
        <v>1</v>
      </c>
      <c r="C4" s="5" t="s">
        <v>2</v>
      </c>
      <c r="D4" s="5" t="s">
        <v>3</v>
      </c>
      <c r="E4" s="5" t="s">
        <v>4</v>
      </c>
      <c r="F4" s="5" t="s">
        <v>147</v>
      </c>
      <c r="G4" s="6" t="s">
        <v>5</v>
      </c>
      <c r="H4" s="7" t="s">
        <v>2</v>
      </c>
      <c r="I4" s="7" t="s">
        <v>3</v>
      </c>
      <c r="J4" s="7" t="s">
        <v>4</v>
      </c>
      <c r="K4" s="7" t="s">
        <v>147</v>
      </c>
      <c r="L4" s="8" t="s">
        <v>5</v>
      </c>
    </row>
    <row r="5" spans="1:12" s="9" customFormat="1">
      <c r="A5" s="133" t="s">
        <v>62</v>
      </c>
      <c r="B5" s="16"/>
      <c r="C5" s="17"/>
      <c r="D5" s="17"/>
      <c r="E5" s="17"/>
      <c r="F5" s="17"/>
      <c r="G5" s="18"/>
      <c r="H5" s="134"/>
      <c r="I5" s="134"/>
      <c r="J5" s="134"/>
      <c r="K5" s="134"/>
      <c r="L5" s="19"/>
    </row>
    <row r="6" spans="1:12" s="9" customFormat="1" ht="256" thickBot="1">
      <c r="A6" s="135" t="s">
        <v>54</v>
      </c>
      <c r="B6" s="21" t="s">
        <v>193</v>
      </c>
      <c r="C6" s="22"/>
      <c r="D6" s="22"/>
      <c r="E6" s="22"/>
      <c r="F6" s="22"/>
      <c r="G6" s="23" t="s">
        <v>194</v>
      </c>
      <c r="H6" s="136"/>
      <c r="I6" s="136"/>
      <c r="J6" s="136"/>
      <c r="K6" s="136"/>
      <c r="L6" s="24"/>
    </row>
    <row r="7" spans="1:12">
      <c r="A7" s="164" t="s">
        <v>57</v>
      </c>
      <c r="B7" s="153" t="s">
        <v>6</v>
      </c>
      <c r="C7" s="181">
        <v>1</v>
      </c>
      <c r="D7" s="41"/>
      <c r="E7" s="41"/>
      <c r="F7" s="41"/>
      <c r="G7" s="42"/>
      <c r="H7" s="138">
        <f>C7</f>
        <v>1</v>
      </c>
      <c r="I7" s="43"/>
      <c r="J7" s="43"/>
      <c r="K7" s="43"/>
      <c r="L7" s="44"/>
    </row>
    <row r="8" spans="1:12">
      <c r="A8" s="164" t="s">
        <v>70</v>
      </c>
      <c r="B8" s="153" t="s">
        <v>171</v>
      </c>
      <c r="C8" s="181">
        <v>15</v>
      </c>
      <c r="D8" s="41"/>
      <c r="E8" s="41">
        <f>480/20</f>
        <v>24</v>
      </c>
      <c r="F8" s="41"/>
      <c r="G8" s="42"/>
      <c r="H8" s="138">
        <f>C8</f>
        <v>15</v>
      </c>
      <c r="I8" s="43"/>
      <c r="J8" s="43"/>
      <c r="K8" s="43"/>
      <c r="L8" s="44"/>
    </row>
    <row r="9" spans="1:12">
      <c r="A9" s="164" t="s">
        <v>72</v>
      </c>
      <c r="B9" s="153" t="s">
        <v>172</v>
      </c>
      <c r="C9" s="181">
        <v>65</v>
      </c>
      <c r="D9" s="41"/>
      <c r="E9" s="41">
        <v>85</v>
      </c>
      <c r="F9" s="41"/>
      <c r="G9" s="42"/>
      <c r="H9" s="138">
        <f>C9/$C$8*$H$8</f>
        <v>65</v>
      </c>
      <c r="I9" s="43"/>
      <c r="J9" s="43"/>
      <c r="K9" s="43"/>
      <c r="L9" s="44"/>
    </row>
    <row r="10" spans="1:12">
      <c r="A10" s="164" t="s">
        <v>71</v>
      </c>
      <c r="B10" s="153" t="s">
        <v>48</v>
      </c>
      <c r="C10" s="183"/>
      <c r="D10" s="184"/>
      <c r="E10" s="184"/>
      <c r="F10" s="184"/>
      <c r="G10" s="185"/>
      <c r="H10" s="186">
        <f>C10/$C$8*$H$8</f>
        <v>0</v>
      </c>
      <c r="I10" s="184"/>
      <c r="J10" s="184"/>
      <c r="K10" s="184"/>
      <c r="L10" s="185"/>
    </row>
    <row r="11" spans="1:12" ht="16" thickBot="1">
      <c r="A11" s="164" t="s">
        <v>8</v>
      </c>
      <c r="B11" s="153" t="s">
        <v>48</v>
      </c>
      <c r="C11" s="181"/>
      <c r="D11" s="41"/>
      <c r="E11" s="41"/>
      <c r="F11" s="41"/>
      <c r="G11" s="42"/>
      <c r="H11" s="138">
        <f>C11/$C$8*$H$8</f>
        <v>0</v>
      </c>
      <c r="I11" s="43"/>
      <c r="J11" s="43"/>
      <c r="K11" s="43"/>
      <c r="L11" s="44"/>
    </row>
    <row r="12" spans="1:12" s="9" customFormat="1" ht="16" thickBot="1">
      <c r="A12" s="165" t="s">
        <v>9</v>
      </c>
      <c r="B12" s="166"/>
      <c r="C12" s="188"/>
      <c r="D12" s="14"/>
      <c r="E12" s="14"/>
      <c r="F12" s="14"/>
      <c r="G12" s="11"/>
      <c r="H12" s="140"/>
      <c r="I12" s="117"/>
      <c r="J12" s="117"/>
      <c r="K12" s="117"/>
      <c r="L12" s="12"/>
    </row>
    <row r="13" spans="1:12">
      <c r="A13" s="164" t="s">
        <v>80</v>
      </c>
      <c r="B13" s="153" t="s">
        <v>58</v>
      </c>
      <c r="C13" s="181">
        <f>3/4</f>
        <v>0.75</v>
      </c>
      <c r="D13" s="182"/>
      <c r="E13" s="182"/>
      <c r="F13" s="182"/>
      <c r="G13" s="250"/>
      <c r="H13" s="138">
        <f>C13</f>
        <v>0.75</v>
      </c>
      <c r="I13" s="43"/>
      <c r="J13" s="43"/>
      <c r="K13" s="43"/>
      <c r="L13" s="44"/>
    </row>
    <row r="14" spans="1:12" ht="60">
      <c r="A14" s="164" t="s">
        <v>146</v>
      </c>
      <c r="B14" s="153" t="s">
        <v>22</v>
      </c>
      <c r="C14" s="181">
        <f>ROUNDUP((225+112+75)/3,-1)</f>
        <v>140</v>
      </c>
      <c r="D14" s="182">
        <f>30*3/4+15+20</f>
        <v>57.5</v>
      </c>
      <c r="E14" s="182">
        <f>ROUNDUP((180+75+50)/2,-1)</f>
        <v>160</v>
      </c>
      <c r="F14" s="182"/>
      <c r="G14" s="250"/>
      <c r="H14" s="138">
        <f t="shared" ref="H14:H25" si="0">C14</f>
        <v>140</v>
      </c>
      <c r="I14" s="43"/>
      <c r="J14" s="43"/>
      <c r="K14" s="43"/>
      <c r="L14" s="44"/>
    </row>
    <row r="15" spans="1:12">
      <c r="A15" s="164" t="s">
        <v>10</v>
      </c>
      <c r="B15" s="153" t="s">
        <v>59</v>
      </c>
      <c r="C15" s="181"/>
      <c r="D15" s="182"/>
      <c r="E15" s="182"/>
      <c r="F15" s="182"/>
      <c r="G15" s="250"/>
      <c r="H15" s="138">
        <f t="shared" si="0"/>
        <v>0</v>
      </c>
      <c r="I15" s="43"/>
      <c r="J15" s="43"/>
      <c r="K15" s="43"/>
      <c r="L15" s="44"/>
    </row>
    <row r="16" spans="1:12">
      <c r="A16" s="164" t="s">
        <v>68</v>
      </c>
      <c r="B16" s="153" t="s">
        <v>22</v>
      </c>
      <c r="C16" s="181">
        <v>115</v>
      </c>
      <c r="D16" s="182">
        <f>ROUNDUP(244.8/3,-1)</f>
        <v>90</v>
      </c>
      <c r="E16" s="182">
        <v>135</v>
      </c>
      <c r="F16" s="182"/>
      <c r="G16" s="250"/>
      <c r="H16" s="138">
        <f t="shared" si="0"/>
        <v>115</v>
      </c>
      <c r="I16" s="43"/>
      <c r="J16" s="43"/>
      <c r="K16" s="43"/>
      <c r="L16" s="44"/>
    </row>
    <row r="17" spans="1:14">
      <c r="A17" s="164" t="s">
        <v>11</v>
      </c>
      <c r="B17" s="153" t="s">
        <v>59</v>
      </c>
      <c r="C17" s="181"/>
      <c r="D17" s="182"/>
      <c r="E17" s="182"/>
      <c r="F17" s="182"/>
      <c r="G17" s="250"/>
      <c r="H17" s="138">
        <f t="shared" si="0"/>
        <v>0</v>
      </c>
      <c r="I17" s="43"/>
      <c r="J17" s="43"/>
      <c r="K17" s="43"/>
      <c r="L17" s="44"/>
    </row>
    <row r="18" spans="1:14">
      <c r="A18" s="164" t="s">
        <v>69</v>
      </c>
      <c r="B18" s="153" t="s">
        <v>22</v>
      </c>
      <c r="C18" s="181">
        <f>600/3</f>
        <v>200</v>
      </c>
      <c r="D18" s="182">
        <f>1800/20</f>
        <v>90</v>
      </c>
      <c r="E18" s="182">
        <f>450/2</f>
        <v>225</v>
      </c>
      <c r="F18" s="182"/>
      <c r="G18" s="250"/>
      <c r="H18" s="138">
        <f t="shared" si="0"/>
        <v>200</v>
      </c>
      <c r="I18" s="43"/>
      <c r="J18" s="43"/>
      <c r="K18" s="43"/>
      <c r="L18" s="44"/>
    </row>
    <row r="19" spans="1:14">
      <c r="A19" s="164" t="s">
        <v>12</v>
      </c>
      <c r="B19" s="153" t="s">
        <v>58</v>
      </c>
      <c r="C19" s="181"/>
      <c r="D19" s="182"/>
      <c r="E19" s="182"/>
      <c r="F19" s="182"/>
      <c r="G19" s="250"/>
      <c r="H19" s="138">
        <f t="shared" si="0"/>
        <v>0</v>
      </c>
      <c r="I19" s="43"/>
      <c r="J19" s="43"/>
      <c r="K19" s="43"/>
      <c r="L19" s="44"/>
    </row>
    <row r="20" spans="1:14">
      <c r="A20" s="164" t="s">
        <v>13</v>
      </c>
      <c r="B20" s="153" t="s">
        <v>60</v>
      </c>
      <c r="C20" s="181">
        <f>180/3</f>
        <v>60</v>
      </c>
      <c r="D20" s="182">
        <v>40</v>
      </c>
      <c r="E20" s="182">
        <f>144/2</f>
        <v>72</v>
      </c>
      <c r="F20" s="182"/>
      <c r="G20" s="250"/>
      <c r="H20" s="138">
        <f t="shared" si="0"/>
        <v>60</v>
      </c>
      <c r="I20" s="43"/>
      <c r="J20" s="43"/>
      <c r="K20" s="43"/>
      <c r="L20" s="44"/>
    </row>
    <row r="21" spans="1:14">
      <c r="A21" s="164" t="s">
        <v>14</v>
      </c>
      <c r="B21" s="153" t="s">
        <v>59</v>
      </c>
      <c r="C21" s="181"/>
      <c r="D21" s="182"/>
      <c r="E21" s="182"/>
      <c r="F21" s="182"/>
      <c r="G21" s="250"/>
      <c r="H21" s="138">
        <f t="shared" si="0"/>
        <v>0</v>
      </c>
      <c r="I21" s="43"/>
      <c r="J21" s="43"/>
      <c r="K21" s="43"/>
      <c r="L21" s="44"/>
    </row>
    <row r="22" spans="1:14">
      <c r="A22" s="164" t="s">
        <v>15</v>
      </c>
      <c r="B22" s="153" t="s">
        <v>22</v>
      </c>
      <c r="C22" s="181">
        <f>D22</f>
        <v>150</v>
      </c>
      <c r="D22" s="182">
        <f>ROUNDUP((2*20*19+20*1*25+1.5*20*17+1200)/20,-1)</f>
        <v>150</v>
      </c>
      <c r="E22" s="182">
        <f>45+100+150/4</f>
        <v>182.5</v>
      </c>
      <c r="F22" s="182"/>
      <c r="G22" s="250"/>
      <c r="H22" s="138">
        <f t="shared" si="0"/>
        <v>150</v>
      </c>
      <c r="I22" s="43"/>
      <c r="J22" s="43"/>
      <c r="K22" s="43"/>
      <c r="L22" s="44"/>
    </row>
    <row r="23" spans="1:14">
      <c r="A23" s="164" t="s">
        <v>174</v>
      </c>
      <c r="B23" s="153" t="s">
        <v>59</v>
      </c>
      <c r="C23" s="181"/>
      <c r="D23" s="182"/>
      <c r="E23" s="182"/>
      <c r="F23" s="182"/>
      <c r="G23" s="250"/>
      <c r="H23" s="138">
        <f t="shared" si="0"/>
        <v>0</v>
      </c>
      <c r="I23" s="43"/>
      <c r="J23" s="43"/>
      <c r="K23" s="43"/>
      <c r="L23" s="44"/>
    </row>
    <row r="24" spans="1:14">
      <c r="A24" s="164" t="s">
        <v>175</v>
      </c>
      <c r="B24" s="153" t="s">
        <v>22</v>
      </c>
      <c r="C24" s="181">
        <f>ROUNDUP(100/3,-1)</f>
        <v>40</v>
      </c>
      <c r="D24" s="182">
        <f>60/2</f>
        <v>30</v>
      </c>
      <c r="E24" s="182"/>
      <c r="F24" s="182"/>
      <c r="G24" s="250"/>
      <c r="H24" s="138">
        <f t="shared" si="0"/>
        <v>40</v>
      </c>
      <c r="I24" s="43"/>
      <c r="J24" s="43"/>
      <c r="K24" s="43"/>
      <c r="L24" s="44"/>
    </row>
    <row r="25" spans="1:14" ht="16" thickBot="1">
      <c r="A25" s="167" t="s">
        <v>73</v>
      </c>
      <c r="B25" s="168" t="s">
        <v>22</v>
      </c>
      <c r="C25" s="181"/>
      <c r="D25" s="181"/>
      <c r="E25" s="181"/>
      <c r="F25" s="182"/>
      <c r="G25" s="251"/>
      <c r="H25" s="138">
        <f t="shared" si="0"/>
        <v>0</v>
      </c>
      <c r="I25" s="141"/>
      <c r="J25" s="43"/>
      <c r="K25" s="43"/>
      <c r="L25" s="142"/>
    </row>
    <row r="26" spans="1:14" s="9" customFormat="1" ht="16" thickBot="1">
      <c r="A26" s="165" t="s">
        <v>16</v>
      </c>
      <c r="B26" s="166"/>
      <c r="C26" s="53"/>
      <c r="D26" s="187"/>
      <c r="E26" s="187"/>
      <c r="F26" s="187"/>
      <c r="G26" s="252"/>
      <c r="H26" s="140"/>
      <c r="I26" s="117"/>
      <c r="J26" s="117"/>
      <c r="K26" s="117"/>
      <c r="L26" s="12"/>
      <c r="M26" s="4"/>
      <c r="N26" s="4"/>
    </row>
    <row r="27" spans="1:14">
      <c r="A27" s="164" t="s">
        <v>16</v>
      </c>
      <c r="B27" s="153" t="s">
        <v>24</v>
      </c>
      <c r="C27" s="181"/>
      <c r="D27" s="182"/>
      <c r="E27" s="182"/>
      <c r="F27" s="182"/>
      <c r="G27" s="250"/>
      <c r="H27" s="138">
        <f t="shared" ref="H27:H28" si="1">C27</f>
        <v>0</v>
      </c>
      <c r="I27" s="43"/>
      <c r="J27" s="43"/>
      <c r="K27" s="43"/>
      <c r="L27" s="44"/>
    </row>
    <row r="28" spans="1:14" ht="16" thickBot="1">
      <c r="A28" s="164" t="s">
        <v>17</v>
      </c>
      <c r="B28" s="153" t="s">
        <v>22</v>
      </c>
      <c r="C28" s="181"/>
      <c r="D28" s="182"/>
      <c r="E28" s="182"/>
      <c r="F28" s="182"/>
      <c r="G28" s="250"/>
      <c r="H28" s="138">
        <f t="shared" si="1"/>
        <v>0</v>
      </c>
      <c r="I28" s="43"/>
      <c r="J28" s="43"/>
      <c r="K28" s="43"/>
      <c r="L28" s="44"/>
    </row>
    <row r="29" spans="1:14" s="9" customFormat="1" ht="16" thickBot="1">
      <c r="A29" s="165" t="s">
        <v>18</v>
      </c>
      <c r="B29" s="166"/>
      <c r="C29" s="53"/>
      <c r="D29" s="187"/>
      <c r="E29" s="187"/>
      <c r="F29" s="187"/>
      <c r="G29" s="252"/>
      <c r="H29" s="140"/>
      <c r="I29" s="117"/>
      <c r="J29" s="117"/>
      <c r="K29" s="117"/>
      <c r="L29" s="12"/>
      <c r="M29" s="4"/>
      <c r="N29" s="4"/>
    </row>
    <row r="30" spans="1:14">
      <c r="A30" s="164" t="s">
        <v>19</v>
      </c>
      <c r="B30" s="153" t="s">
        <v>20</v>
      </c>
      <c r="C30" s="181"/>
      <c r="D30" s="182"/>
      <c r="E30" s="182"/>
      <c r="F30" s="182"/>
      <c r="G30" s="250"/>
      <c r="H30" s="138">
        <f t="shared" ref="H30:H37" si="2">C30</f>
        <v>0</v>
      </c>
      <c r="I30" s="43"/>
      <c r="J30" s="43"/>
      <c r="K30" s="43"/>
      <c r="L30" s="44"/>
    </row>
    <row r="31" spans="1:14">
      <c r="A31" s="164" t="s">
        <v>21</v>
      </c>
      <c r="B31" s="153" t="s">
        <v>22</v>
      </c>
      <c r="C31" s="181"/>
      <c r="D31" s="182"/>
      <c r="E31" s="182"/>
      <c r="F31" s="182"/>
      <c r="G31" s="250"/>
      <c r="H31" s="138">
        <f t="shared" si="2"/>
        <v>0</v>
      </c>
      <c r="I31" s="43"/>
      <c r="J31" s="43"/>
      <c r="K31" s="43"/>
      <c r="L31" s="44"/>
    </row>
    <row r="32" spans="1:14">
      <c r="A32" s="164" t="s">
        <v>23</v>
      </c>
      <c r="B32" s="153" t="s">
        <v>24</v>
      </c>
      <c r="C32" s="181"/>
      <c r="D32" s="182"/>
      <c r="E32" s="182"/>
      <c r="F32" s="182"/>
      <c r="G32" s="250"/>
      <c r="H32" s="138">
        <f t="shared" si="2"/>
        <v>0</v>
      </c>
      <c r="I32" s="43"/>
      <c r="J32" s="43"/>
      <c r="K32" s="43"/>
      <c r="L32" s="44"/>
    </row>
    <row r="33" spans="1:12">
      <c r="A33" s="164" t="s">
        <v>25</v>
      </c>
      <c r="B33" s="153" t="s">
        <v>22</v>
      </c>
      <c r="C33" s="181"/>
      <c r="D33" s="182"/>
      <c r="E33" s="182"/>
      <c r="F33" s="182"/>
      <c r="G33" s="250"/>
      <c r="H33" s="138">
        <f t="shared" si="2"/>
        <v>0</v>
      </c>
      <c r="I33" s="43"/>
      <c r="J33" s="43"/>
      <c r="K33" s="43"/>
      <c r="L33" s="44"/>
    </row>
    <row r="34" spans="1:12">
      <c r="A34" s="164" t="s">
        <v>26</v>
      </c>
      <c r="B34" s="153" t="s">
        <v>24</v>
      </c>
      <c r="C34" s="181"/>
      <c r="D34" s="182"/>
      <c r="E34" s="182"/>
      <c r="F34" s="182"/>
      <c r="G34" s="250"/>
      <c r="H34" s="138">
        <f t="shared" si="2"/>
        <v>0</v>
      </c>
      <c r="I34" s="43"/>
      <c r="J34" s="43"/>
      <c r="K34" s="43"/>
      <c r="L34" s="44"/>
    </row>
    <row r="35" spans="1:12">
      <c r="A35" s="164" t="s">
        <v>27</v>
      </c>
      <c r="B35" s="153" t="s">
        <v>22</v>
      </c>
      <c r="C35" s="181"/>
      <c r="D35" s="182"/>
      <c r="E35" s="182"/>
      <c r="F35" s="182"/>
      <c r="G35" s="250"/>
      <c r="H35" s="138">
        <f t="shared" si="2"/>
        <v>0</v>
      </c>
      <c r="I35" s="43"/>
      <c r="J35" s="43"/>
      <c r="K35" s="43"/>
      <c r="L35" s="44"/>
    </row>
    <row r="36" spans="1:12">
      <c r="A36" s="164" t="s">
        <v>28</v>
      </c>
      <c r="B36" s="153" t="s">
        <v>24</v>
      </c>
      <c r="C36" s="181"/>
      <c r="D36" s="182"/>
      <c r="E36" s="182"/>
      <c r="F36" s="182"/>
      <c r="G36" s="250"/>
      <c r="H36" s="138">
        <f t="shared" si="2"/>
        <v>0</v>
      </c>
      <c r="I36" s="43"/>
      <c r="J36" s="43"/>
      <c r="K36" s="43"/>
      <c r="L36" s="44"/>
    </row>
    <row r="37" spans="1:12" ht="16" thickBot="1">
      <c r="A37" s="164" t="s">
        <v>29</v>
      </c>
      <c r="B37" s="153" t="s">
        <v>22</v>
      </c>
      <c r="C37" s="189"/>
      <c r="D37" s="41"/>
      <c r="E37" s="41"/>
      <c r="F37" s="41"/>
      <c r="G37" s="42"/>
      <c r="H37" s="138">
        <f t="shared" si="2"/>
        <v>0</v>
      </c>
      <c r="I37" s="43"/>
      <c r="J37" s="43"/>
      <c r="K37" s="43"/>
      <c r="L37" s="44"/>
    </row>
    <row r="38" spans="1:12" s="9" customFormat="1" ht="31" thickBot="1">
      <c r="A38" s="165" t="s">
        <v>30</v>
      </c>
      <c r="B38" s="166"/>
      <c r="C38" s="188"/>
      <c r="D38" s="14"/>
      <c r="E38" s="14"/>
      <c r="F38" s="14"/>
      <c r="G38" s="11"/>
      <c r="H38" s="140"/>
      <c r="I38" s="117"/>
      <c r="J38" s="117"/>
      <c r="K38" s="117"/>
      <c r="L38" s="12"/>
    </row>
    <row r="39" spans="1:12">
      <c r="A39" s="164" t="s">
        <v>31</v>
      </c>
      <c r="B39" s="153" t="s">
        <v>32</v>
      </c>
      <c r="C39" s="52"/>
      <c r="D39" s="41"/>
      <c r="E39" s="41"/>
      <c r="F39" s="41"/>
      <c r="G39" s="42"/>
      <c r="H39" s="138">
        <f t="shared" ref="H39:H44" si="3">C39</f>
        <v>0</v>
      </c>
      <c r="I39" s="43"/>
      <c r="J39" s="43"/>
      <c r="K39" s="43"/>
      <c r="L39" s="44"/>
    </row>
    <row r="40" spans="1:12">
      <c r="A40" s="164" t="s">
        <v>33</v>
      </c>
      <c r="B40" s="153" t="s">
        <v>22</v>
      </c>
      <c r="C40" s="181"/>
      <c r="D40" s="182"/>
      <c r="E40" s="182"/>
      <c r="F40" s="41"/>
      <c r="G40" s="42"/>
      <c r="H40" s="138">
        <f t="shared" si="3"/>
        <v>0</v>
      </c>
      <c r="I40" s="43"/>
      <c r="J40" s="43"/>
      <c r="K40" s="43"/>
      <c r="L40" s="44"/>
    </row>
    <row r="41" spans="1:12">
      <c r="A41" s="164" t="s">
        <v>34</v>
      </c>
      <c r="B41" s="153" t="s">
        <v>32</v>
      </c>
      <c r="C41" s="181"/>
      <c r="D41" s="182"/>
      <c r="E41" s="182"/>
      <c r="F41" s="41"/>
      <c r="G41" s="42"/>
      <c r="H41" s="138">
        <f t="shared" si="3"/>
        <v>0</v>
      </c>
      <c r="I41" s="43"/>
      <c r="J41" s="43"/>
      <c r="K41" s="43"/>
      <c r="L41" s="44"/>
    </row>
    <row r="42" spans="1:12">
      <c r="A42" s="164" t="s">
        <v>35</v>
      </c>
      <c r="B42" s="153" t="s">
        <v>22</v>
      </c>
      <c r="C42" s="181"/>
      <c r="D42" s="182"/>
      <c r="E42" s="182"/>
      <c r="F42" s="41"/>
      <c r="G42" s="42"/>
      <c r="H42" s="138">
        <f t="shared" si="3"/>
        <v>0</v>
      </c>
      <c r="I42" s="43"/>
      <c r="J42" s="43"/>
      <c r="K42" s="43"/>
      <c r="L42" s="44"/>
    </row>
    <row r="43" spans="1:12">
      <c r="A43" s="164" t="s">
        <v>36</v>
      </c>
      <c r="B43" s="153" t="s">
        <v>37</v>
      </c>
      <c r="C43" s="181"/>
      <c r="D43" s="182"/>
      <c r="E43" s="182"/>
      <c r="F43" s="41"/>
      <c r="G43" s="42"/>
      <c r="H43" s="138">
        <f t="shared" si="3"/>
        <v>0</v>
      </c>
      <c r="I43" s="43"/>
      <c r="J43" s="43"/>
      <c r="K43" s="43"/>
      <c r="L43" s="44"/>
    </row>
    <row r="44" spans="1:12" ht="16" thickBot="1">
      <c r="A44" s="164" t="s">
        <v>38</v>
      </c>
      <c r="B44" s="153" t="s">
        <v>22</v>
      </c>
      <c r="C44" s="181"/>
      <c r="D44" s="182"/>
      <c r="E44" s="182"/>
      <c r="F44" s="41"/>
      <c r="G44" s="42"/>
      <c r="H44" s="138">
        <f t="shared" si="3"/>
        <v>0</v>
      </c>
      <c r="I44" s="43"/>
      <c r="J44" s="43"/>
      <c r="K44" s="43"/>
      <c r="L44" s="44"/>
    </row>
    <row r="45" spans="1:12" s="9" customFormat="1" ht="16" thickBot="1">
      <c r="A45" s="165" t="s">
        <v>39</v>
      </c>
      <c r="B45" s="166"/>
      <c r="C45" s="53"/>
      <c r="D45" s="187"/>
      <c r="E45" s="187"/>
      <c r="F45" s="14"/>
      <c r="G45" s="11"/>
      <c r="H45" s="140"/>
      <c r="I45" s="117"/>
      <c r="J45" s="117"/>
      <c r="K45" s="117"/>
      <c r="L45" s="12"/>
    </row>
    <row r="46" spans="1:12">
      <c r="A46" s="164" t="s">
        <v>40</v>
      </c>
      <c r="B46" s="153" t="s">
        <v>41</v>
      </c>
      <c r="C46" s="181"/>
      <c r="D46" s="182"/>
      <c r="E46" s="182"/>
      <c r="F46" s="41"/>
      <c r="G46" s="42"/>
      <c r="H46" s="138">
        <f t="shared" ref="H46:H49" si="4">C46</f>
        <v>0</v>
      </c>
      <c r="I46" s="43"/>
      <c r="J46" s="43"/>
      <c r="K46" s="43"/>
      <c r="L46" s="44"/>
    </row>
    <row r="47" spans="1:12" ht="30">
      <c r="A47" s="164" t="s">
        <v>42</v>
      </c>
      <c r="B47" s="153" t="s">
        <v>22</v>
      </c>
      <c r="C47" s="181"/>
      <c r="D47" s="182"/>
      <c r="E47" s="182"/>
      <c r="F47" s="41"/>
      <c r="G47" s="42"/>
      <c r="H47" s="138">
        <f t="shared" si="4"/>
        <v>0</v>
      </c>
      <c r="I47" s="43"/>
      <c r="J47" s="43"/>
      <c r="K47" s="43"/>
      <c r="L47" s="44"/>
    </row>
    <row r="48" spans="1:12">
      <c r="A48" s="164" t="s">
        <v>76</v>
      </c>
      <c r="B48" s="153" t="s">
        <v>78</v>
      </c>
      <c r="C48" s="189"/>
      <c r="D48" s="41"/>
      <c r="E48" s="41"/>
      <c r="F48" s="41"/>
      <c r="G48" s="42"/>
      <c r="H48" s="138">
        <f t="shared" si="4"/>
        <v>0</v>
      </c>
      <c r="I48" s="43"/>
      <c r="J48" s="43"/>
      <c r="K48" s="43"/>
      <c r="L48" s="44"/>
    </row>
    <row r="49" spans="1:12" ht="31" thickBot="1">
      <c r="A49" s="164" t="s">
        <v>77</v>
      </c>
      <c r="B49" s="153" t="s">
        <v>48</v>
      </c>
      <c r="C49" s="189"/>
      <c r="D49" s="41"/>
      <c r="E49" s="41"/>
      <c r="F49" s="41"/>
      <c r="G49" s="42"/>
      <c r="H49" s="138">
        <f t="shared" si="4"/>
        <v>0</v>
      </c>
      <c r="I49" s="43"/>
      <c r="J49" s="43"/>
      <c r="K49" s="179"/>
      <c r="L49" s="180"/>
    </row>
    <row r="50" spans="1:12" s="9" customFormat="1" ht="16" thickBot="1">
      <c r="A50" s="165" t="s">
        <v>43</v>
      </c>
      <c r="B50" s="166"/>
      <c r="C50" s="188"/>
      <c r="D50" s="14"/>
      <c r="E50" s="14"/>
      <c r="F50" s="14"/>
      <c r="G50" s="11"/>
      <c r="H50" s="140"/>
      <c r="I50" s="117"/>
      <c r="J50" s="117"/>
      <c r="K50" s="117"/>
      <c r="L50" s="12"/>
    </row>
    <row r="51" spans="1:12" ht="45">
      <c r="A51" s="164" t="s">
        <v>176</v>
      </c>
      <c r="B51" s="153" t="s">
        <v>44</v>
      </c>
      <c r="C51" s="181">
        <v>12</v>
      </c>
      <c r="D51" s="182">
        <v>12</v>
      </c>
      <c r="E51" s="182">
        <v>12</v>
      </c>
      <c r="F51" s="41"/>
      <c r="G51" s="42"/>
      <c r="H51" s="138">
        <f>C51</f>
        <v>12</v>
      </c>
      <c r="I51" s="43"/>
      <c r="J51" s="43"/>
      <c r="K51" s="43"/>
      <c r="L51" s="44" t="s">
        <v>195</v>
      </c>
    </row>
    <row r="52" spans="1:12" ht="45">
      <c r="A52" s="164" t="s">
        <v>177</v>
      </c>
      <c r="B52" s="153" t="s">
        <v>22</v>
      </c>
      <c r="C52" s="181">
        <v>136</v>
      </c>
      <c r="D52" s="182">
        <v>120</v>
      </c>
      <c r="E52" s="182">
        <v>144</v>
      </c>
      <c r="F52" s="41"/>
      <c r="G52" s="42"/>
      <c r="H52" s="138">
        <f>C52</f>
        <v>136</v>
      </c>
      <c r="I52" s="43"/>
      <c r="J52" s="43"/>
      <c r="K52" s="43"/>
      <c r="L52" s="44" t="s">
        <v>195</v>
      </c>
    </row>
    <row r="53" spans="1:12">
      <c r="A53" s="164" t="s">
        <v>56</v>
      </c>
      <c r="B53" s="153" t="s">
        <v>44</v>
      </c>
      <c r="C53" s="189"/>
      <c r="D53" s="41"/>
      <c r="E53" s="41"/>
      <c r="F53" s="41"/>
      <c r="G53" s="42"/>
      <c r="H53" s="138">
        <f t="shared" ref="H53:H55" si="5">C53</f>
        <v>0</v>
      </c>
      <c r="I53" s="43"/>
      <c r="J53" s="43"/>
      <c r="K53" s="43"/>
      <c r="L53" s="44"/>
    </row>
    <row r="54" spans="1:12" ht="45">
      <c r="A54" s="164" t="s">
        <v>178</v>
      </c>
      <c r="B54" s="153" t="s">
        <v>22</v>
      </c>
      <c r="C54" s="189"/>
      <c r="D54" s="41"/>
      <c r="E54" s="41"/>
      <c r="F54" s="41"/>
      <c r="G54" s="42"/>
      <c r="H54" s="138">
        <f t="shared" si="5"/>
        <v>0</v>
      </c>
      <c r="I54" s="43"/>
      <c r="J54" s="43"/>
      <c r="K54" s="43"/>
      <c r="L54" s="44"/>
    </row>
    <row r="55" spans="1:12" ht="16" thickBot="1">
      <c r="A55" s="167" t="s">
        <v>55</v>
      </c>
      <c r="B55" s="168" t="s">
        <v>44</v>
      </c>
      <c r="C55" s="189"/>
      <c r="D55" s="41"/>
      <c r="E55" s="41"/>
      <c r="F55" s="41"/>
      <c r="G55" s="42"/>
      <c r="H55" s="138">
        <f t="shared" si="5"/>
        <v>0</v>
      </c>
      <c r="I55" s="43"/>
      <c r="J55" s="43"/>
      <c r="K55" s="43"/>
      <c r="L55" s="44"/>
    </row>
    <row r="56" spans="1:12" s="9" customFormat="1" ht="16" thickBot="1">
      <c r="A56" s="165" t="s">
        <v>148</v>
      </c>
      <c r="B56" s="166"/>
      <c r="C56" s="188"/>
      <c r="D56" s="14"/>
      <c r="E56" s="14"/>
      <c r="F56" s="14"/>
      <c r="G56" s="11"/>
      <c r="H56" s="140"/>
      <c r="I56" s="117"/>
      <c r="J56" s="117"/>
      <c r="K56" s="117"/>
      <c r="L56" s="12"/>
    </row>
    <row r="57" spans="1:12">
      <c r="A57" s="164" t="s">
        <v>45</v>
      </c>
      <c r="B57" s="153" t="s">
        <v>22</v>
      </c>
      <c r="C57" s="189"/>
      <c r="D57" s="41"/>
      <c r="E57" s="41"/>
      <c r="F57" s="41"/>
      <c r="G57" s="42"/>
      <c r="H57" s="138">
        <f t="shared" ref="H57:H58" si="6">C57</f>
        <v>0</v>
      </c>
      <c r="I57" s="43"/>
      <c r="J57" s="43"/>
      <c r="K57" s="43"/>
      <c r="L57" s="44"/>
    </row>
    <row r="58" spans="1:12" ht="16" thickBot="1">
      <c r="A58" s="164" t="s">
        <v>46</v>
      </c>
      <c r="B58" s="153" t="s">
        <v>22</v>
      </c>
      <c r="C58" s="189"/>
      <c r="D58" s="41"/>
      <c r="E58" s="41"/>
      <c r="F58" s="41"/>
      <c r="G58" s="42"/>
      <c r="H58" s="138">
        <f t="shared" si="6"/>
        <v>0</v>
      </c>
      <c r="I58" s="43"/>
      <c r="J58" s="43"/>
      <c r="K58" s="43"/>
      <c r="L58" s="44"/>
    </row>
    <row r="59" spans="1:12" s="9" customFormat="1" ht="16" thickBot="1">
      <c r="A59" s="165" t="s">
        <v>47</v>
      </c>
      <c r="B59" s="166"/>
      <c r="C59" s="188"/>
      <c r="D59" s="14"/>
      <c r="E59" s="14"/>
      <c r="F59" s="14"/>
      <c r="G59" s="11"/>
      <c r="H59" s="140"/>
      <c r="I59" s="117"/>
      <c r="J59" s="117"/>
      <c r="K59" s="117"/>
      <c r="L59" s="12"/>
    </row>
    <row r="60" spans="1:12" ht="45">
      <c r="A60" s="164" t="s">
        <v>75</v>
      </c>
      <c r="B60" s="153" t="s">
        <v>48</v>
      </c>
      <c r="C60" s="189"/>
      <c r="D60" s="41"/>
      <c r="E60" s="41"/>
      <c r="F60" s="41"/>
      <c r="G60" s="42"/>
      <c r="H60" s="138">
        <f t="shared" ref="H60:H63" si="7">C60</f>
        <v>0</v>
      </c>
      <c r="I60" s="43"/>
      <c r="J60" s="43"/>
      <c r="K60" s="43"/>
      <c r="L60" s="44"/>
    </row>
    <row r="61" spans="1:12" ht="30">
      <c r="A61" s="164" t="s">
        <v>74</v>
      </c>
      <c r="B61" s="153" t="s">
        <v>48</v>
      </c>
      <c r="C61" s="189"/>
      <c r="D61" s="137"/>
      <c r="E61" s="137"/>
      <c r="F61" s="41"/>
      <c r="G61" s="45"/>
      <c r="H61" s="138">
        <f t="shared" si="7"/>
        <v>0</v>
      </c>
      <c r="I61" s="141"/>
      <c r="J61" s="43"/>
      <c r="K61" s="43"/>
      <c r="L61" s="142"/>
    </row>
    <row r="62" spans="1:12">
      <c r="A62" s="164" t="s">
        <v>49</v>
      </c>
      <c r="B62" s="153" t="s">
        <v>48</v>
      </c>
      <c r="C62" s="189"/>
      <c r="D62" s="41"/>
      <c r="E62" s="41"/>
      <c r="F62" s="41"/>
      <c r="G62" s="42"/>
      <c r="H62" s="138">
        <f t="shared" si="7"/>
        <v>0</v>
      </c>
      <c r="I62" s="43"/>
      <c r="J62" s="43"/>
      <c r="K62" s="43"/>
      <c r="L62" s="44"/>
    </row>
    <row r="63" spans="1:12" ht="16" thickBot="1">
      <c r="A63" s="164" t="s">
        <v>50</v>
      </c>
      <c r="B63" s="153" t="s">
        <v>48</v>
      </c>
      <c r="C63" s="189"/>
      <c r="D63" s="41"/>
      <c r="E63" s="41"/>
      <c r="F63" s="41"/>
      <c r="G63" s="42"/>
      <c r="H63" s="138">
        <f t="shared" si="7"/>
        <v>0</v>
      </c>
      <c r="I63" s="43"/>
      <c r="J63" s="43"/>
      <c r="K63" s="43"/>
      <c r="L63" s="44"/>
    </row>
    <row r="64" spans="1:12" s="9" customFormat="1" ht="16" thickBot="1">
      <c r="A64" s="165" t="s">
        <v>51</v>
      </c>
      <c r="B64" s="166"/>
      <c r="C64" s="190"/>
      <c r="D64" s="14"/>
      <c r="E64" s="14"/>
      <c r="F64" s="14"/>
      <c r="G64" s="11"/>
      <c r="H64" s="140"/>
      <c r="I64" s="117"/>
      <c r="J64" s="117"/>
      <c r="K64" s="117"/>
      <c r="L64" s="12"/>
    </row>
    <row r="65" spans="1:12" ht="60">
      <c r="A65" s="164" t="s">
        <v>52</v>
      </c>
      <c r="B65" s="153" t="s">
        <v>48</v>
      </c>
      <c r="C65" s="191"/>
      <c r="D65" s="41"/>
      <c r="E65" s="41"/>
      <c r="F65" s="41"/>
      <c r="G65" s="42"/>
      <c r="H65" s="138">
        <v>0</v>
      </c>
      <c r="I65" s="43"/>
      <c r="J65" s="43"/>
      <c r="K65" s="43"/>
      <c r="L65" s="44" t="s">
        <v>191</v>
      </c>
    </row>
    <row r="66" spans="1:12" ht="60">
      <c r="A66" s="164" t="s">
        <v>53</v>
      </c>
      <c r="B66" s="153" t="s">
        <v>48</v>
      </c>
      <c r="C66" s="189"/>
      <c r="D66" s="41"/>
      <c r="E66" s="41"/>
      <c r="F66" s="41"/>
      <c r="G66" s="42"/>
      <c r="H66" s="138">
        <v>0</v>
      </c>
      <c r="I66" s="43"/>
      <c r="J66" s="43"/>
      <c r="K66" s="43"/>
      <c r="L66" s="44" t="s">
        <v>191</v>
      </c>
    </row>
    <row r="67" spans="1:12">
      <c r="A67" s="170"/>
      <c r="B67" s="169"/>
    </row>
    <row r="68" spans="1:12">
      <c r="A68" s="170"/>
      <c r="B68" s="169"/>
    </row>
    <row r="69" spans="1:12">
      <c r="A69" s="170"/>
      <c r="B69" s="169"/>
    </row>
    <row r="70" spans="1:12">
      <c r="A70" s="170"/>
      <c r="B70" s="169"/>
    </row>
    <row r="71" spans="1:12">
      <c r="A71" s="170"/>
      <c r="B71" s="169"/>
    </row>
    <row r="72" spans="1:12">
      <c r="A72" s="170"/>
      <c r="B72" s="169"/>
    </row>
    <row r="73" spans="1:12">
      <c r="A73" s="170"/>
      <c r="B73" s="169"/>
    </row>
    <row r="74" spans="1:12">
      <c r="A74" s="170"/>
      <c r="B74" s="169"/>
    </row>
    <row r="75" spans="1:12">
      <c r="A75" s="170"/>
      <c r="B75" s="169"/>
    </row>
    <row r="76" spans="1:12">
      <c r="A76" s="170"/>
      <c r="B76" s="169"/>
    </row>
    <row r="77" spans="1:12">
      <c r="A77" s="170"/>
      <c r="B77" s="169"/>
    </row>
    <row r="78" spans="1:12">
      <c r="A78" s="170"/>
      <c r="B78" s="169"/>
    </row>
    <row r="79" spans="1:12">
      <c r="A79" s="170"/>
      <c r="B79" s="169"/>
    </row>
    <row r="80" spans="1:12">
      <c r="A80" s="170"/>
      <c r="B80" s="169"/>
    </row>
    <row r="81" spans="1:2" s="4" customFormat="1">
      <c r="A81" s="170"/>
      <c r="B81" s="169"/>
    </row>
    <row r="82" spans="1:2" s="4" customFormat="1">
      <c r="A82" s="170"/>
      <c r="B82" s="169"/>
    </row>
    <row r="83" spans="1:2" s="4" customFormat="1">
      <c r="A83" s="170"/>
      <c r="B83" s="169"/>
    </row>
    <row r="84" spans="1:2" s="4" customFormat="1">
      <c r="A84" s="170"/>
      <c r="B84" s="169"/>
    </row>
    <row r="85" spans="1:2" s="4" customFormat="1">
      <c r="A85" s="170"/>
      <c r="B85" s="169"/>
    </row>
    <row r="86" spans="1:2" s="4" customFormat="1">
      <c r="A86" s="170"/>
      <c r="B86" s="169"/>
    </row>
    <row r="87" spans="1:2" s="4" customFormat="1">
      <c r="A87" s="170"/>
      <c r="B87" s="169"/>
    </row>
    <row r="88" spans="1:2" s="4" customFormat="1">
      <c r="A88" s="170"/>
      <c r="B88" s="169"/>
    </row>
    <row r="89" spans="1:2" s="4" customFormat="1">
      <c r="A89" s="170"/>
      <c r="B89" s="169"/>
    </row>
    <row r="90" spans="1:2" s="4" customFormat="1">
      <c r="A90" s="170"/>
      <c r="B90" s="169"/>
    </row>
    <row r="91" spans="1:2" s="4" customFormat="1">
      <c r="A91" s="170"/>
      <c r="B91" s="169"/>
    </row>
    <row r="92" spans="1:2" s="4" customFormat="1">
      <c r="A92" s="170"/>
      <c r="B92" s="169"/>
    </row>
    <row r="93" spans="1:2" s="4" customFormat="1">
      <c r="A93" s="170"/>
      <c r="B93" s="169"/>
    </row>
    <row r="94" spans="1:2" s="4" customFormat="1">
      <c r="A94" s="170"/>
      <c r="B94" s="169"/>
    </row>
    <row r="95" spans="1:2" s="4" customFormat="1">
      <c r="A95" s="170"/>
      <c r="B95" s="169"/>
    </row>
    <row r="96" spans="1:2" s="4" customFormat="1">
      <c r="A96" s="170"/>
      <c r="B96" s="169"/>
    </row>
    <row r="97" spans="1:2" s="4" customFormat="1">
      <c r="A97" s="170"/>
      <c r="B97" s="169"/>
    </row>
    <row r="98" spans="1:2" s="4" customFormat="1">
      <c r="A98" s="170"/>
      <c r="B98" s="169"/>
    </row>
    <row r="99" spans="1:2" s="4" customFormat="1">
      <c r="A99" s="170"/>
      <c r="B99" s="169"/>
    </row>
    <row r="100" spans="1:2" s="4" customFormat="1">
      <c r="A100" s="170"/>
      <c r="B100" s="169"/>
    </row>
    <row r="101" spans="1:2" s="4" customFormat="1">
      <c r="A101" s="170"/>
      <c r="B101" s="169"/>
    </row>
    <row r="102" spans="1:2" s="4" customFormat="1">
      <c r="A102" s="170"/>
      <c r="B102" s="169"/>
    </row>
    <row r="103" spans="1:2" s="4" customFormat="1">
      <c r="A103" s="170"/>
      <c r="B103" s="169"/>
    </row>
    <row r="104" spans="1:2" s="4" customFormat="1">
      <c r="A104" s="170"/>
      <c r="B104" s="169"/>
    </row>
    <row r="105" spans="1:2" s="4" customFormat="1">
      <c r="A105" s="170"/>
      <c r="B105" s="169"/>
    </row>
    <row r="106" spans="1:2" s="4" customFormat="1">
      <c r="A106" s="170"/>
      <c r="B106" s="169"/>
    </row>
    <row r="107" spans="1:2" s="4" customFormat="1">
      <c r="A107" s="170"/>
      <c r="B107" s="169"/>
    </row>
    <row r="108" spans="1:2" s="4" customFormat="1">
      <c r="A108" s="170"/>
      <c r="B108" s="169"/>
    </row>
    <row r="109" spans="1:2" s="4" customFormat="1">
      <c r="A109" s="170"/>
      <c r="B109" s="169"/>
    </row>
    <row r="110" spans="1:2" s="4" customFormat="1">
      <c r="A110" s="170"/>
      <c r="B110" s="169"/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59999389629810485"/>
  </sheetPr>
  <dimension ref="A1:M36"/>
  <sheetViews>
    <sheetView tabSelected="1" workbookViewId="0">
      <selection activeCell="A7" sqref="A7"/>
    </sheetView>
  </sheetViews>
  <sheetFormatPr baseColWidth="10" defaultColWidth="11.5" defaultRowHeight="12" x14ac:dyDescent="0"/>
  <cols>
    <col min="1" max="1" width="22.1640625" style="60" customWidth="1"/>
    <col min="2" max="16384" width="11.5" style="60"/>
  </cols>
  <sheetData>
    <row r="1" spans="1:13">
      <c r="A1" s="58"/>
      <c r="B1" s="192" t="s">
        <v>179</v>
      </c>
      <c r="C1" s="59"/>
      <c r="D1" s="58"/>
      <c r="E1" s="59"/>
      <c r="F1" s="59"/>
      <c r="G1" s="58"/>
      <c r="H1" s="59"/>
      <c r="I1" s="59"/>
      <c r="J1" s="58"/>
      <c r="K1" s="192" t="s">
        <v>180</v>
      </c>
      <c r="L1" s="59"/>
      <c r="M1" s="58"/>
    </row>
    <row r="2" spans="1:13">
      <c r="A2" s="58"/>
      <c r="B2" s="62"/>
      <c r="C2" s="63" t="s">
        <v>61</v>
      </c>
      <c r="D2" s="64"/>
      <c r="E2" s="62"/>
      <c r="F2" s="63" t="s">
        <v>63</v>
      </c>
      <c r="G2" s="64"/>
      <c r="H2" s="62"/>
      <c r="I2" s="63" t="s">
        <v>67</v>
      </c>
      <c r="J2" s="64"/>
      <c r="K2" s="65"/>
      <c r="L2" s="63" t="s">
        <v>197</v>
      </c>
      <c r="M2" s="66"/>
    </row>
    <row r="3" spans="1:13" s="72" customFormat="1" ht="36">
      <c r="A3" s="68"/>
      <c r="B3" s="69" t="s">
        <v>83</v>
      </c>
      <c r="C3" s="69" t="s">
        <v>150</v>
      </c>
      <c r="D3" s="70" t="s">
        <v>126</v>
      </c>
      <c r="E3" s="69" t="s">
        <v>83</v>
      </c>
      <c r="F3" s="69" t="s">
        <v>150</v>
      </c>
      <c r="G3" s="70" t="s">
        <v>126</v>
      </c>
      <c r="H3" s="69" t="s">
        <v>83</v>
      </c>
      <c r="I3" s="69" t="s">
        <v>150</v>
      </c>
      <c r="J3" s="70" t="s">
        <v>126</v>
      </c>
      <c r="K3" s="71" t="s">
        <v>83</v>
      </c>
      <c r="L3" s="69" t="s">
        <v>150</v>
      </c>
      <c r="M3" s="70" t="s">
        <v>126</v>
      </c>
    </row>
    <row r="4" spans="1:13" s="59" customFormat="1">
      <c r="A4" s="58" t="s">
        <v>84</v>
      </c>
      <c r="B4" s="195">
        <f>ROUND('Répartition des cultures'!B11*'Répartition des cultures'!$B$6,2)</f>
        <v>0.16</v>
      </c>
      <c r="C4" s="143">
        <f>B4</f>
        <v>0.16</v>
      </c>
      <c r="D4" s="194">
        <f>ROUND('Répartition des cultures'!C11*'Répartition des cultures'!$C$6,2)</f>
        <v>0.1</v>
      </c>
      <c r="E4" s="195">
        <f>ROUND('Répartition des cultures'!B12*'Répartition des cultures'!$B$6,2)</f>
        <v>0.03</v>
      </c>
      <c r="F4" s="143">
        <f>E4</f>
        <v>0.03</v>
      </c>
      <c r="G4" s="194">
        <f>ROUND('Répartition des cultures'!C12*'Répartition des cultures'!$C$6,2)</f>
        <v>0.03</v>
      </c>
      <c r="H4" s="195">
        <f>ROUND('Répartition des cultures'!B13*'Répartition des cultures'!$B$6,2)</f>
        <v>0.08</v>
      </c>
      <c r="I4" s="143">
        <f>H4</f>
        <v>0.08</v>
      </c>
      <c r="J4" s="194">
        <f>ROUND('Répartition des cultures'!C13*'Répartition des cultures'!$C$6,2)</f>
        <v>0.05</v>
      </c>
      <c r="K4" s="195">
        <f>ROUND('Répartition des cultures'!B18*'Répartition des cultures'!$B$6,2)</f>
        <v>0.15</v>
      </c>
      <c r="L4" s="143">
        <f>K4</f>
        <v>0.15</v>
      </c>
      <c r="M4" s="194">
        <f>ROUND('Répartition des cultures'!C18*'Répartition des cultures'!$B$6,2)</f>
        <v>0.2</v>
      </c>
    </row>
    <row r="5" spans="1:13" s="59" customFormat="1">
      <c r="A5" s="58" t="s">
        <v>151</v>
      </c>
      <c r="B5" s="216">
        <f>'humide-BD'!C8</f>
        <v>25</v>
      </c>
      <c r="C5" s="217">
        <f>B5*98%</f>
        <v>24.5</v>
      </c>
      <c r="D5" s="218">
        <f>'humide-BD'!H8</f>
        <v>27.500000000000004</v>
      </c>
      <c r="E5" s="216">
        <f>'humide-BT'!C8</f>
        <v>40</v>
      </c>
      <c r="F5" s="217">
        <f>E5*98%</f>
        <v>39.200000000000003</v>
      </c>
      <c r="G5" s="218">
        <f>'humide-BT'!H8</f>
        <v>44</v>
      </c>
      <c r="H5" s="216">
        <f>'humide-orge'!C8</f>
        <v>30</v>
      </c>
      <c r="I5" s="217">
        <f>H5*98%</f>
        <v>29.4</v>
      </c>
      <c r="J5" s="218">
        <f>'humide-orge'!H8</f>
        <v>33</v>
      </c>
      <c r="K5" s="216">
        <f>'humide lég alim_feverole'!C8</f>
        <v>15</v>
      </c>
      <c r="L5" s="219">
        <f>K5</f>
        <v>15</v>
      </c>
      <c r="M5" s="218">
        <f>'humide lég alim_feverole'!H8</f>
        <v>15</v>
      </c>
    </row>
    <row r="6" spans="1:13" s="59" customFormat="1">
      <c r="A6" s="58" t="s">
        <v>152</v>
      </c>
      <c r="B6" s="143">
        <f>B4*B5</f>
        <v>4</v>
      </c>
      <c r="C6" s="143">
        <f t="shared" ref="C6:L6" si="0">C4*C5</f>
        <v>3.92</v>
      </c>
      <c r="D6" s="144">
        <f t="shared" si="0"/>
        <v>2.7500000000000004</v>
      </c>
      <c r="E6" s="143">
        <f t="shared" si="0"/>
        <v>1.2</v>
      </c>
      <c r="F6" s="143">
        <f t="shared" si="0"/>
        <v>1.1759999999999999</v>
      </c>
      <c r="G6" s="144">
        <f t="shared" si="0"/>
        <v>1.3199999999999998</v>
      </c>
      <c r="H6" s="143">
        <f t="shared" si="0"/>
        <v>2.4</v>
      </c>
      <c r="I6" s="143">
        <f t="shared" si="0"/>
        <v>2.3519999999999999</v>
      </c>
      <c r="J6" s="144">
        <f t="shared" si="0"/>
        <v>1.6500000000000001</v>
      </c>
      <c r="K6" s="143">
        <f t="shared" si="0"/>
        <v>2.25</v>
      </c>
      <c r="L6" s="143">
        <f t="shared" si="0"/>
        <v>2.25</v>
      </c>
      <c r="M6" s="144">
        <f>M4*M5</f>
        <v>3</v>
      </c>
    </row>
    <row r="7" spans="1:13">
      <c r="A7" s="58" t="s">
        <v>199</v>
      </c>
      <c r="B7" s="199">
        <f>'humide-BD'!C9</f>
        <v>70</v>
      </c>
      <c r="C7" s="200">
        <f>B7</f>
        <v>70</v>
      </c>
      <c r="D7" s="201">
        <f>'humide-BD'!H9</f>
        <v>77</v>
      </c>
      <c r="E7" s="199">
        <f>'humide-BT'!C9</f>
        <v>45</v>
      </c>
      <c r="F7" s="200">
        <f>E7</f>
        <v>45</v>
      </c>
      <c r="G7" s="201">
        <f>'humide-BT'!H9</f>
        <v>49.5</v>
      </c>
      <c r="H7" s="199">
        <f>'humide-orge'!C9</f>
        <v>40</v>
      </c>
      <c r="I7" s="200">
        <f>H7</f>
        <v>40</v>
      </c>
      <c r="J7" s="201">
        <f>'humide-orge'!H9</f>
        <v>44</v>
      </c>
      <c r="K7" s="199">
        <f>'humide lég alim_feverole'!C9</f>
        <v>65</v>
      </c>
      <c r="L7" s="200">
        <f>K7</f>
        <v>65</v>
      </c>
      <c r="M7" s="201">
        <f>'humide lég alim_feverole'!H9</f>
        <v>65</v>
      </c>
    </row>
    <row r="8" spans="1:13" ht="36">
      <c r="A8" s="193" t="s">
        <v>181</v>
      </c>
      <c r="B8" s="199">
        <f>'humide-BD'!C10/'humide-BD'!C7*'Marges par type de culture'!B$4</f>
        <v>48</v>
      </c>
      <c r="C8" s="200">
        <f>B8</f>
        <v>48</v>
      </c>
      <c r="D8" s="201">
        <f>'humide-BD'!H10/'humide-BD'!H7*'Marges par type de culture'!D$4</f>
        <v>33.000000000000007</v>
      </c>
      <c r="E8" s="199">
        <f>'humide-BT'!C10/'humide-BT'!C7*'Marges par type de culture'!E$4</f>
        <v>9</v>
      </c>
      <c r="F8" s="200">
        <f>E8</f>
        <v>9</v>
      </c>
      <c r="G8" s="201">
        <f>'humide-BT'!H10/'humide-BT'!H7*'Marges par type de culture'!G$4</f>
        <v>9.9</v>
      </c>
      <c r="H8" s="199">
        <f>'humide-orge'!C10/'humide-orge'!C7*'Marges par type de culture'!H$4</f>
        <v>24</v>
      </c>
      <c r="I8" s="200">
        <f>H8</f>
        <v>24</v>
      </c>
      <c r="J8" s="201">
        <f>'humide-orge'!H10/'humide-orge'!H7*'Marges par type de culture'!J$4</f>
        <v>16.5</v>
      </c>
      <c r="K8" s="202"/>
      <c r="L8" s="202"/>
      <c r="M8" s="203"/>
    </row>
    <row r="9" spans="1:13">
      <c r="A9" s="74" t="s">
        <v>198</v>
      </c>
      <c r="B9" s="204">
        <f>B4*B5*B7+B8*B4</f>
        <v>287.68</v>
      </c>
      <c r="C9" s="204">
        <f t="shared" ref="C9:M9" si="1">C4*C5*C7+C8*C4</f>
        <v>282.08</v>
      </c>
      <c r="D9" s="205">
        <f t="shared" si="1"/>
        <v>215.05000000000004</v>
      </c>
      <c r="E9" s="204">
        <f t="shared" si="1"/>
        <v>54.27</v>
      </c>
      <c r="F9" s="204">
        <f t="shared" si="1"/>
        <v>53.19</v>
      </c>
      <c r="G9" s="205">
        <f t="shared" si="1"/>
        <v>65.636999999999986</v>
      </c>
      <c r="H9" s="204">
        <f t="shared" si="1"/>
        <v>97.92</v>
      </c>
      <c r="I9" s="204">
        <f t="shared" si="1"/>
        <v>96</v>
      </c>
      <c r="J9" s="205">
        <f t="shared" si="1"/>
        <v>73.425000000000011</v>
      </c>
      <c r="K9" s="204">
        <f t="shared" si="1"/>
        <v>146.25</v>
      </c>
      <c r="L9" s="204">
        <f t="shared" si="1"/>
        <v>146.25</v>
      </c>
      <c r="M9" s="205">
        <f t="shared" si="1"/>
        <v>195</v>
      </c>
    </row>
    <row r="10" spans="1:13" s="75" customFormat="1">
      <c r="A10" s="73"/>
      <c r="B10" s="143"/>
      <c r="C10" s="143"/>
      <c r="D10" s="144"/>
      <c r="E10" s="143"/>
      <c r="F10" s="143"/>
      <c r="G10" s="144"/>
      <c r="H10" s="143"/>
      <c r="I10" s="143"/>
      <c r="J10" s="144"/>
      <c r="K10" s="143"/>
      <c r="L10" s="143"/>
      <c r="M10" s="144"/>
    </row>
    <row r="11" spans="1:13" s="75" customFormat="1">
      <c r="A11" s="73" t="s">
        <v>85</v>
      </c>
      <c r="B11" s="199">
        <f>SUM('humide-BD'!C14,'humide-BD'!C16,'humide-BD'!C18,'humide-BD'!C20,'humide-BD'!C22,'humide-BD'!C24,'humide-BD'!C25)</f>
        <v>330</v>
      </c>
      <c r="C11" s="200">
        <f t="shared" ref="C11:C17" si="2">B11</f>
        <v>330</v>
      </c>
      <c r="D11" s="201">
        <f>SUM('humide-BD'!H14,'humide-BD'!H16,'humide-BD'!H18,'humide-BD'!H20,'humide-BD'!H22,'humide-BD'!H24,'humide-BD'!H25)</f>
        <v>330</v>
      </c>
      <c r="E11" s="199">
        <f>SUM('humide-BT'!C14,'humide-BT'!C16,'humide-BT'!C18,'humide-BT'!C20,'humide-BT'!C22,'humide-BT'!C24,'humide-BT'!C25)</f>
        <v>285</v>
      </c>
      <c r="F11" s="200">
        <f t="shared" ref="F11:F17" si="3">E11</f>
        <v>285</v>
      </c>
      <c r="G11" s="201">
        <f>SUM('humide-BT'!H14,'humide-BT'!H16,'humide-BT'!H18,'humide-BT'!H20,'humide-BT'!H22,'humide-BT'!H24,'humide-BT'!H25)</f>
        <v>285</v>
      </c>
      <c r="H11" s="199">
        <f>SUM('humide-orge'!C14,'humide-orge'!C16,'humide-orge'!C18,'humide-orge'!C20,'humide-orge'!C22,'humide-orge'!C24,'humide-orge'!C25)</f>
        <v>250</v>
      </c>
      <c r="I11" s="200">
        <f t="shared" ref="I11:I17" si="4">H11</f>
        <v>250</v>
      </c>
      <c r="J11" s="201">
        <f>SUM('humide-orge'!H14,'humide-orge'!H16,'humide-orge'!H18,'humide-orge'!H20,'humide-orge'!H22,'humide-orge'!H24,'humide-orge'!H25)</f>
        <v>250</v>
      </c>
      <c r="K11" s="199">
        <f>SUM('humide lég alim_feverole'!C14,'humide lég alim_feverole'!C16,'humide lég alim_feverole'!C18,'humide lég alim_feverole'!C20,'humide lég alim_feverole'!C22,'humide lég alim_feverole'!C24,'humide lég alim_feverole'!C25)</f>
        <v>705</v>
      </c>
      <c r="L11" s="200">
        <f t="shared" ref="L11:L17" si="5">K11</f>
        <v>705</v>
      </c>
      <c r="M11" s="201">
        <f>SUM('humide lég alim_feverole'!H14,'humide lég alim_feverole'!H16,'humide lég alim_feverole'!H18,'humide lég alim_feverole'!H20,'humide lég alim_feverole'!H22,'humide lég alim_feverole'!H24,'humide lég alim_feverole'!H25)</f>
        <v>705</v>
      </c>
    </row>
    <row r="12" spans="1:13" s="75" customFormat="1">
      <c r="A12" s="73" t="s">
        <v>86</v>
      </c>
      <c r="B12" s="199">
        <f>'humide-BD'!C28</f>
        <v>139.19999999999999</v>
      </c>
      <c r="C12" s="200">
        <f t="shared" si="2"/>
        <v>139.19999999999999</v>
      </c>
      <c r="D12" s="201">
        <f>'humide-BD'!H28</f>
        <v>139.19999999999999</v>
      </c>
      <c r="E12" s="199">
        <f>'humide-BT'!C28</f>
        <v>123.2</v>
      </c>
      <c r="F12" s="200">
        <f t="shared" si="3"/>
        <v>123.2</v>
      </c>
      <c r="G12" s="201">
        <f>'humide-BT'!H28</f>
        <v>123.2</v>
      </c>
      <c r="H12" s="199">
        <f>'humide-orge'!C28</f>
        <v>40</v>
      </c>
      <c r="I12" s="200">
        <f t="shared" si="4"/>
        <v>40</v>
      </c>
      <c r="J12" s="201">
        <f>'humide-orge'!H28</f>
        <v>40</v>
      </c>
      <c r="K12" s="199">
        <f>'humide lég alim_feverole'!C28</f>
        <v>0</v>
      </c>
      <c r="L12" s="200">
        <f t="shared" si="5"/>
        <v>0</v>
      </c>
      <c r="M12" s="201">
        <f>'humide lég alim_feverole'!H28</f>
        <v>0</v>
      </c>
    </row>
    <row r="13" spans="1:13" s="220" customFormat="1">
      <c r="A13" s="73" t="s">
        <v>87</v>
      </c>
      <c r="B13" s="199">
        <f>SUM('humide-BD'!C31,'humide-BD'!C33,'humide-BD'!C35,'humide-BD'!C37)</f>
        <v>199</v>
      </c>
      <c r="C13" s="207">
        <f>B13*1.1</f>
        <v>218.9</v>
      </c>
      <c r="D13" s="201">
        <f>SUM('humide-BD'!H31,'humide-BD'!H33,'humide-BD'!H35,'humide-BD'!H37)</f>
        <v>199</v>
      </c>
      <c r="E13" s="199">
        <f>SUM('humide-BT'!C31,'humide-BT'!C33,'humide-BT'!C35,'humide-BT'!C37)</f>
        <v>178</v>
      </c>
      <c r="F13" s="207">
        <f>E13*1.1</f>
        <v>195.8</v>
      </c>
      <c r="G13" s="201">
        <f>SUM('humide-BT'!H31,'humide-BT'!H33,'humide-BT'!H35,'humide-BT'!H37)</f>
        <v>178</v>
      </c>
      <c r="H13" s="199">
        <f>SUM('humide-orge'!C31,'humide-orge'!C33,'humide-orge'!C35,'humide-orge'!C37)</f>
        <v>115</v>
      </c>
      <c r="I13" s="207">
        <f>H13*1.1</f>
        <v>126.50000000000001</v>
      </c>
      <c r="J13" s="201">
        <f>SUM('humide-orge'!H31,'humide-orge'!H33,'humide-orge'!H35,'humide-orge'!H37)</f>
        <v>115</v>
      </c>
      <c r="K13" s="199">
        <f>SUM('humide lég alim_feverole'!C31,'humide lég alim_feverole'!C33,'humide lég alim_feverole'!C35,'humide lég alim_feverole'!C37)</f>
        <v>0</v>
      </c>
      <c r="L13" s="200">
        <f>K13</f>
        <v>0</v>
      </c>
      <c r="M13" s="201">
        <f>SUM('humide lég alim_feverole'!H31,'humide lég alim_feverole'!H33,'humide lég alim_feverole'!H35,'humide lég alim_feverole'!H37)</f>
        <v>0</v>
      </c>
    </row>
    <row r="14" spans="1:13" s="75" customFormat="1" ht="24">
      <c r="A14" s="76" t="s">
        <v>88</v>
      </c>
      <c r="B14" s="199">
        <f>SUM('humide-BD'!C40,'humide-BD'!C42,'humide-BD'!C44)</f>
        <v>279</v>
      </c>
      <c r="C14" s="200">
        <f t="shared" si="2"/>
        <v>279</v>
      </c>
      <c r="D14" s="201">
        <f>SUM('humide-BD'!H40,'humide-BD'!H42,'humide-BD'!H44)</f>
        <v>279</v>
      </c>
      <c r="E14" s="199">
        <f>SUM('humide-BT'!C40,'humide-BT'!C42,'humide-BT'!C44)</f>
        <v>189</v>
      </c>
      <c r="F14" s="200">
        <f t="shared" si="3"/>
        <v>189</v>
      </c>
      <c r="G14" s="201">
        <f>SUM('humide-BT'!H40,'humide-BT'!H42,'humide-BT'!H44)</f>
        <v>189</v>
      </c>
      <c r="H14" s="199">
        <f>SUM('humide-orge'!C40,'humide-orge'!C42,'humide-orge'!C44)</f>
        <v>67.5</v>
      </c>
      <c r="I14" s="200">
        <f t="shared" si="4"/>
        <v>67.5</v>
      </c>
      <c r="J14" s="201">
        <f>SUM('humide-orge'!H40,'humide-orge'!H42,'humide-orge'!H44)</f>
        <v>67.5</v>
      </c>
      <c r="K14" s="199">
        <f>SUM('humide lég alim_feverole'!C40,'humide lég alim_feverole'!C42,'humide lég alim_feverole'!C44)</f>
        <v>0</v>
      </c>
      <c r="L14" s="200">
        <f t="shared" si="5"/>
        <v>0</v>
      </c>
      <c r="M14" s="201">
        <f>SUM('humide lég alim_feverole'!H40,'humide lég alim_feverole'!H42,'humide lég alim_feverole'!H44)</f>
        <v>0</v>
      </c>
    </row>
    <row r="15" spans="1:13" s="75" customFormat="1">
      <c r="A15" s="73" t="s">
        <v>89</v>
      </c>
      <c r="B15" s="199">
        <f>SUM('humide-BD'!C47,'humide-BD'!C49)</f>
        <v>0</v>
      </c>
      <c r="C15" s="200">
        <f t="shared" si="2"/>
        <v>0</v>
      </c>
      <c r="D15" s="201">
        <f>SUM('humide-BD'!H47,'humide-BD'!H49)</f>
        <v>0</v>
      </c>
      <c r="E15" s="199">
        <f>SUM('humide-BT'!C47,'humide-BT'!C49)</f>
        <v>0</v>
      </c>
      <c r="F15" s="200">
        <f t="shared" si="3"/>
        <v>0</v>
      </c>
      <c r="G15" s="201">
        <f>SUM('humide-BT'!H47,'humide-BT'!H49)</f>
        <v>0</v>
      </c>
      <c r="H15" s="199">
        <f>SUM('humide-orge'!C47,'humide-orge'!C49)</f>
        <v>0</v>
      </c>
      <c r="I15" s="200">
        <f t="shared" si="4"/>
        <v>0</v>
      </c>
      <c r="J15" s="201">
        <f>SUM('humide-orge'!H47,'humide-orge'!H49)</f>
        <v>0</v>
      </c>
      <c r="K15" s="199">
        <f>SUM('humide lég alim_feverole'!C47,'humide lég alim_feverole'!C49)</f>
        <v>0</v>
      </c>
      <c r="L15" s="200">
        <f t="shared" si="5"/>
        <v>0</v>
      </c>
      <c r="M15" s="201">
        <f>SUM('humide lég alim_feverole'!H47,'humide lég alim_feverole'!H49)</f>
        <v>0</v>
      </c>
    </row>
    <row r="16" spans="1:13" s="75" customFormat="1">
      <c r="A16" s="73" t="s">
        <v>90</v>
      </c>
      <c r="B16" s="199">
        <f>SUM('humide-BD'!C52,'humide-BD'!C54)+IF(AND('humide-BD'!C53&lt;&gt;0,'humide-BD'!C53&lt;&gt;"-",'humide-BD'!C53&lt;&gt;""),AVERAGE('humide-BD'!C52/'humide-BD'!C51,'humide-BD'!C54/'humide-BD'!C53)*'humide-BD'!C55,IF(AND('humide-BD'!C51&lt;&gt;0,'humide-BD'!C51&lt;&gt;"-",'humide-BD'!C51&lt;&gt;""),'humide-BD'!C52/'humide-BD'!C51*'humide-BD'!C55,""))</f>
        <v>73.800000000000011</v>
      </c>
      <c r="C16" s="200">
        <f t="shared" si="2"/>
        <v>73.800000000000011</v>
      </c>
      <c r="D16" s="201">
        <f>SUM('humide-BD'!H52,'humide-BD'!H54)+IF(AND('humide-BD'!H53&lt;&gt;0,'humide-BD'!H53&lt;&gt;"-",'humide-BD'!H53&lt;&gt;""),AVERAGE('humide-BD'!H52/'humide-BD'!H51,'humide-BD'!H54/'humide-BD'!H53)*'humide-BD'!H55,IF(AND('humide-BD'!H51&lt;&gt;0,'humide-BD'!H51&lt;&gt;"-",'humide-BD'!H51&lt;&gt;""),'humide-BD'!H52/'humide-BD'!H51*'humide-BD'!H55,""))</f>
        <v>73.800000000000011</v>
      </c>
      <c r="E16" s="199">
        <f>SUM('humide-BT'!C52,'humide-BT'!C54)+IF(AND('humide-BT'!C53&lt;&gt;0,'humide-BT'!C53&lt;&gt;"-",'humide-BT'!C53&lt;&gt;""),AVERAGE('humide-BT'!C52/'humide-BT'!C51,'humide-BT'!C54/'humide-BT'!C53)*'humide-BT'!C55,IF(AND('humide-BT'!C51&lt;&gt;0,'humide-BT'!C51&lt;&gt;"-",'humide-BT'!C51&lt;&gt;""),'humide-BT'!C52/'humide-BT'!C51*'humide-BT'!C55,""))</f>
        <v>73.800000000000011</v>
      </c>
      <c r="F16" s="200">
        <f t="shared" si="3"/>
        <v>73.800000000000011</v>
      </c>
      <c r="G16" s="201">
        <f>SUM('humide-BT'!H52,'humide-BT'!H54)+IF(AND('humide-BT'!H53&lt;&gt;0,'humide-BT'!H53&lt;&gt;"-",'humide-BT'!H53&lt;&gt;""),AVERAGE('humide-BT'!H52/'humide-BT'!H51,'humide-BT'!H54/'humide-BT'!H53)*'humide-BT'!H55,IF(AND('humide-BT'!H51&lt;&gt;0,'humide-BT'!H51&lt;&gt;"-",'humide-BT'!H51&lt;&gt;""),'humide-BT'!H52/'humide-BT'!H51*'humide-BT'!H55,""))</f>
        <v>73.800000000000011</v>
      </c>
      <c r="H16" s="199">
        <f>SUM('humide-orge'!C52,'humide-orge'!C54)+IF(AND('humide-orge'!C53&lt;&gt;0,'humide-orge'!C53&lt;&gt;"-",'humide-orge'!C53&lt;&gt;""),AVERAGE('humide-orge'!C52/'humide-orge'!C51,'humide-orge'!C54/'humide-orge'!C53)*'humide-orge'!C55,IF(AND('humide-orge'!C51&lt;&gt;0,'humide-orge'!C51&lt;&gt;"-",'humide-orge'!C51&lt;&gt;""),'humide-orge'!C52/'humide-orge'!C51*'humide-orge'!C55,""))</f>
        <v>61.5</v>
      </c>
      <c r="I16" s="200">
        <f t="shared" si="4"/>
        <v>61.5</v>
      </c>
      <c r="J16" s="201">
        <f>SUM('humide-orge'!H52,'humide-orge'!H54)+IF(AND('humide-orge'!H53&lt;&gt;0,'humide-orge'!H53&lt;&gt;"-",'humide-orge'!H53&lt;&gt;""),AVERAGE('humide-orge'!H52/'humide-orge'!H51,'humide-orge'!H54/'humide-orge'!H53)*'humide-orge'!H55,IF(AND('humide-orge'!H51&lt;&gt;0,'humide-orge'!H51&lt;&gt;"-",'humide-orge'!H51&lt;&gt;""),'humide-orge'!H52/'humide-orge'!H51*'humide-orge'!H55,""))</f>
        <v>61.5</v>
      </c>
      <c r="K16" s="199">
        <f>SUM('humide lég alim_feverole'!C52,'humide lég alim_feverole'!C54)+IF(AND('humide lég alim_feverole'!C53&lt;&gt;0,'humide lég alim_feverole'!C53&lt;&gt;"-",'humide lég alim_feverole'!C53&lt;&gt;""),AVERAGE('humide lég alim_feverole'!C52/'humide lég alim_feverole'!C51,'humide lég alim_feverole'!C54/'humide lég alim_feverole'!C53)*'humide lég alim_feverole'!C55,IF(AND('humide lég alim_feverole'!C51&lt;&gt;0,'humide lég alim_feverole'!C51&lt;&gt;"-",'humide lég alim_feverole'!C51&lt;&gt;""),'humide lég alim_feverole'!C52/'humide lég alim_feverole'!C51*'humide lég alim_feverole'!C55,""))</f>
        <v>136</v>
      </c>
      <c r="L16" s="200">
        <f t="shared" si="5"/>
        <v>136</v>
      </c>
      <c r="M16" s="201">
        <f>SUM('humide lég alim_feverole'!H52,'humide lég alim_feverole'!H54)+IF(AND('humide lég alim_feverole'!H53&lt;&gt;0,'humide lég alim_feverole'!H53&lt;&gt;"-",'humide lég alim_feverole'!H53&lt;&gt;""),AVERAGE('humide lég alim_feverole'!H52/'humide lég alim_feverole'!H51,'humide lég alim_feverole'!H54/'humide lég alim_feverole'!H53)*'humide lég alim_feverole'!H55,IF(AND('humide lég alim_feverole'!H51&lt;&gt;0,'humide lég alim_feverole'!H51&lt;&gt;"-",'humide lég alim_feverole'!H51&lt;&gt;""),'humide lég alim_feverole'!H52/'humide lég alim_feverole'!H51*'humide lég alim_feverole'!H55,""))</f>
        <v>136</v>
      </c>
    </row>
    <row r="17" spans="1:13" s="75" customFormat="1">
      <c r="A17" s="73" t="s">
        <v>91</v>
      </c>
      <c r="B17" s="199">
        <f>SUM('humide-BD'!C57:C58)</f>
        <v>0</v>
      </c>
      <c r="C17" s="200">
        <f t="shared" si="2"/>
        <v>0</v>
      </c>
      <c r="D17" s="201">
        <f>SUM('humide-BD'!H57:H58)</f>
        <v>0</v>
      </c>
      <c r="E17" s="199">
        <f>SUM('humide-BT'!C57:C58)</f>
        <v>0</v>
      </c>
      <c r="F17" s="200">
        <f t="shared" si="3"/>
        <v>0</v>
      </c>
      <c r="G17" s="201">
        <f>SUM('humide-BT'!H57:H58)</f>
        <v>0</v>
      </c>
      <c r="H17" s="199">
        <f>SUM('humide-orge'!C57:C58)</f>
        <v>0</v>
      </c>
      <c r="I17" s="200">
        <f t="shared" si="4"/>
        <v>0</v>
      </c>
      <c r="J17" s="201">
        <f>SUM('humide-orge'!H57:H58)</f>
        <v>0</v>
      </c>
      <c r="K17" s="199">
        <f>SUM('humide lég alim_feverole'!C57:C58)</f>
        <v>0</v>
      </c>
      <c r="L17" s="200">
        <f t="shared" si="5"/>
        <v>0</v>
      </c>
      <c r="M17" s="201">
        <f>SUM('humide lég alim_feverole'!H57:H58)</f>
        <v>0</v>
      </c>
    </row>
    <row r="18" spans="1:13">
      <c r="A18" s="77" t="s">
        <v>92</v>
      </c>
      <c r="B18" s="200">
        <f>SUM(B11:B17)</f>
        <v>1021</v>
      </c>
      <c r="C18" s="200">
        <f t="shared" ref="C18:M18" si="6">SUM(C11:C17)</f>
        <v>1040.9000000000001</v>
      </c>
      <c r="D18" s="206">
        <f t="shared" si="6"/>
        <v>1021</v>
      </c>
      <c r="E18" s="200">
        <f t="shared" si="6"/>
        <v>849</v>
      </c>
      <c r="F18" s="200">
        <f t="shared" si="6"/>
        <v>866.8</v>
      </c>
      <c r="G18" s="206">
        <f t="shared" si="6"/>
        <v>849</v>
      </c>
      <c r="H18" s="200">
        <f t="shared" si="6"/>
        <v>534</v>
      </c>
      <c r="I18" s="200">
        <f t="shared" si="6"/>
        <v>545.5</v>
      </c>
      <c r="J18" s="206">
        <f t="shared" si="6"/>
        <v>534</v>
      </c>
      <c r="K18" s="200">
        <f t="shared" si="6"/>
        <v>841</v>
      </c>
      <c r="L18" s="200">
        <f t="shared" si="6"/>
        <v>841</v>
      </c>
      <c r="M18" s="206">
        <f t="shared" si="6"/>
        <v>841</v>
      </c>
    </row>
    <row r="19" spans="1:13">
      <c r="A19" s="78" t="s">
        <v>93</v>
      </c>
      <c r="B19" s="204">
        <f>B4*B18</f>
        <v>163.36000000000001</v>
      </c>
      <c r="C19" s="204">
        <f t="shared" ref="C19:M19" si="7">C4*C18</f>
        <v>166.54400000000001</v>
      </c>
      <c r="D19" s="205">
        <f t="shared" si="7"/>
        <v>102.10000000000001</v>
      </c>
      <c r="E19" s="204">
        <f t="shared" si="7"/>
        <v>25.47</v>
      </c>
      <c r="F19" s="204">
        <f t="shared" si="7"/>
        <v>26.003999999999998</v>
      </c>
      <c r="G19" s="205">
        <f t="shared" si="7"/>
        <v>25.47</v>
      </c>
      <c r="H19" s="204">
        <f t="shared" si="7"/>
        <v>42.72</v>
      </c>
      <c r="I19" s="204">
        <f t="shared" si="7"/>
        <v>43.64</v>
      </c>
      <c r="J19" s="205">
        <f t="shared" si="7"/>
        <v>26.700000000000003</v>
      </c>
      <c r="K19" s="204">
        <f t="shared" si="7"/>
        <v>126.14999999999999</v>
      </c>
      <c r="L19" s="204">
        <f t="shared" si="7"/>
        <v>126.14999999999999</v>
      </c>
      <c r="M19" s="205">
        <f t="shared" si="7"/>
        <v>168.20000000000002</v>
      </c>
    </row>
    <row r="20" spans="1:13">
      <c r="A20" s="58"/>
      <c r="B20" s="143"/>
      <c r="C20" s="143"/>
      <c r="D20" s="144"/>
      <c r="E20" s="143"/>
      <c r="F20" s="143"/>
      <c r="G20" s="144"/>
      <c r="H20" s="143"/>
      <c r="I20" s="143"/>
      <c r="J20" s="144"/>
      <c r="K20" s="143"/>
      <c r="L20" s="143"/>
      <c r="M20" s="144"/>
    </row>
    <row r="21" spans="1:13">
      <c r="A21" s="79" t="s">
        <v>94</v>
      </c>
      <c r="B21" s="207">
        <f>B9-B19</f>
        <v>124.32</v>
      </c>
      <c r="C21" s="207">
        <f>C9-C19</f>
        <v>115.53599999999997</v>
      </c>
      <c r="D21" s="208">
        <f t="shared" ref="D21:M21" si="8">D9-D19</f>
        <v>112.95000000000003</v>
      </c>
      <c r="E21" s="207">
        <f t="shared" si="8"/>
        <v>28.800000000000004</v>
      </c>
      <c r="F21" s="207">
        <f t="shared" si="8"/>
        <v>27.186</v>
      </c>
      <c r="G21" s="208">
        <f t="shared" si="8"/>
        <v>40.166999999999987</v>
      </c>
      <c r="H21" s="207">
        <f t="shared" si="8"/>
        <v>55.2</v>
      </c>
      <c r="I21" s="207">
        <f t="shared" si="8"/>
        <v>52.36</v>
      </c>
      <c r="J21" s="208">
        <f t="shared" si="8"/>
        <v>46.725000000000009</v>
      </c>
      <c r="K21" s="207">
        <f t="shared" si="8"/>
        <v>20.100000000000009</v>
      </c>
      <c r="L21" s="207">
        <f t="shared" si="8"/>
        <v>20.100000000000009</v>
      </c>
      <c r="M21" s="208">
        <f t="shared" si="8"/>
        <v>26.799999999999983</v>
      </c>
    </row>
    <row r="22" spans="1:13">
      <c r="A22" s="58"/>
      <c r="B22" s="196"/>
      <c r="C22" s="197"/>
      <c r="D22" s="198"/>
      <c r="E22" s="196"/>
      <c r="F22" s="197"/>
      <c r="G22" s="198"/>
      <c r="H22" s="196"/>
      <c r="I22" s="197"/>
      <c r="J22" s="198"/>
      <c r="K22" s="196"/>
      <c r="L22" s="197"/>
      <c r="M22" s="198"/>
    </row>
    <row r="23" spans="1:13">
      <c r="A23" s="74" t="s">
        <v>95</v>
      </c>
      <c r="B23" s="222">
        <f>SUM('humide-BD'!C60:C63)</f>
        <v>9.2102400000000006</v>
      </c>
      <c r="C23" s="204">
        <f>B23</f>
        <v>9.2102400000000006</v>
      </c>
      <c r="D23" s="221">
        <f>SUM('humide-BD'!H60:H63)</f>
        <v>9.2102400000000006</v>
      </c>
      <c r="E23" s="222">
        <f>SUM('humide-BT'!C60:C63)</f>
        <v>9.2102400000000006</v>
      </c>
      <c r="F23" s="204">
        <f>E23</f>
        <v>9.2102400000000006</v>
      </c>
      <c r="G23" s="221">
        <f>SUM('humide-BT'!H60:H63)</f>
        <v>9.2102400000000006</v>
      </c>
      <c r="H23" s="222">
        <f>SUM('humide-orge'!C60:C63)</f>
        <v>7.6752000000000011</v>
      </c>
      <c r="I23" s="204">
        <f>H23</f>
        <v>7.6752000000000011</v>
      </c>
      <c r="J23" s="221">
        <f>SUM('humide-orge'!H60:H63)</f>
        <v>7.6752000000000011</v>
      </c>
      <c r="K23" s="222">
        <f>SUM('humide lég alim_feverole'!C60:C63)</f>
        <v>0</v>
      </c>
      <c r="L23" s="204">
        <f>K23</f>
        <v>0</v>
      </c>
      <c r="M23" s="221">
        <f>SUM('humide lég alim_feverole'!H60:H63)</f>
        <v>0</v>
      </c>
    </row>
    <row r="24" spans="1:13" s="146" customFormat="1" ht="24">
      <c r="A24" s="226" t="s">
        <v>182</v>
      </c>
      <c r="B24" s="224">
        <f>10%*B19</f>
        <v>16.336000000000002</v>
      </c>
      <c r="C24" s="223">
        <f>10%*C19</f>
        <v>16.654400000000003</v>
      </c>
      <c r="D24" s="225">
        <f t="shared" ref="D24:M24" si="9">10%*D19</f>
        <v>10.210000000000001</v>
      </c>
      <c r="E24" s="224">
        <f t="shared" si="9"/>
        <v>2.5470000000000002</v>
      </c>
      <c r="F24" s="223">
        <f t="shared" si="9"/>
        <v>2.6004</v>
      </c>
      <c r="G24" s="225">
        <f t="shared" si="9"/>
        <v>2.5470000000000002</v>
      </c>
      <c r="H24" s="224">
        <f t="shared" si="9"/>
        <v>4.2720000000000002</v>
      </c>
      <c r="I24" s="223">
        <f t="shared" si="9"/>
        <v>4.3639999999999999</v>
      </c>
      <c r="J24" s="225">
        <f t="shared" si="9"/>
        <v>2.6700000000000004</v>
      </c>
      <c r="K24" s="224">
        <f t="shared" si="9"/>
        <v>12.615</v>
      </c>
      <c r="L24" s="223">
        <f t="shared" si="9"/>
        <v>12.615</v>
      </c>
      <c r="M24" s="225">
        <f t="shared" si="9"/>
        <v>16.820000000000004</v>
      </c>
    </row>
    <row r="25" spans="1:13" ht="36">
      <c r="A25" s="80" t="s">
        <v>183</v>
      </c>
      <c r="B25" s="222">
        <f>SUM(B24*'humide-BD'!C65,'humide-BD'!C66)</f>
        <v>4.0840000000000005</v>
      </c>
      <c r="C25" s="223">
        <v>0</v>
      </c>
      <c r="D25" s="221">
        <f>SUM(D24*'humide-BD'!H65,'humide-BD'!H66)</f>
        <v>0</v>
      </c>
      <c r="E25" s="222">
        <f>SUM(E24*'humide-BT'!C65,'humide-BT'!C66)</f>
        <v>0.63675000000000004</v>
      </c>
      <c r="F25" s="223">
        <v>0</v>
      </c>
      <c r="G25" s="221">
        <f>SUM(G24*'humide-BT'!H65,'humide-BT'!H66)</f>
        <v>0</v>
      </c>
      <c r="H25" s="222">
        <f>SUM(H24*'humide-orge'!C65,'humide-orge'!C66)</f>
        <v>1.0680000000000001</v>
      </c>
      <c r="I25" s="223">
        <v>0</v>
      </c>
      <c r="J25" s="221">
        <f>SUM(J24*'humide-orge'!H65,'humide-orge'!H66)</f>
        <v>0</v>
      </c>
      <c r="K25" s="222">
        <f>SUM(K24*'humide lég alim_feverole'!C65,'humide lég alim_feverole'!C66)</f>
        <v>0</v>
      </c>
      <c r="L25" s="223">
        <f>K25</f>
        <v>0</v>
      </c>
      <c r="M25" s="221">
        <f>SUM(M24*'humide lég alim_feverole'!H65,'humide lég alim_feverole'!H66)</f>
        <v>0</v>
      </c>
    </row>
    <row r="29" spans="1:13" s="72" customFormat="1" ht="36">
      <c r="A29" s="68"/>
      <c r="B29" s="81" t="s">
        <v>83</v>
      </c>
      <c r="C29" s="69" t="s">
        <v>150</v>
      </c>
      <c r="D29" s="82" t="s">
        <v>153</v>
      </c>
    </row>
    <row r="30" spans="1:13" ht="24">
      <c r="A30" s="77" t="s">
        <v>96</v>
      </c>
      <c r="B30" s="209">
        <f>B9+E9+H9+K9</f>
        <v>586.12</v>
      </c>
      <c r="C30" s="209">
        <f>C9+F9+I9+L9</f>
        <v>577.52</v>
      </c>
      <c r="D30" s="210">
        <f>D9+G9+J9+M9</f>
        <v>549.11200000000008</v>
      </c>
    </row>
    <row r="31" spans="1:13" ht="24">
      <c r="A31" s="83" t="s">
        <v>187</v>
      </c>
      <c r="B31" s="211">
        <f>B19+E19+H19+K19</f>
        <v>357.7</v>
      </c>
      <c r="C31" s="211">
        <f>C19+F19+I19+L19</f>
        <v>362.33799999999997</v>
      </c>
      <c r="D31" s="212">
        <f>D19+G19+J19+M19</f>
        <v>322.47000000000003</v>
      </c>
    </row>
    <row r="32" spans="1:13">
      <c r="A32" s="77" t="s">
        <v>97</v>
      </c>
      <c r="B32" s="209">
        <f>B30-B31</f>
        <v>228.42000000000002</v>
      </c>
      <c r="C32" s="209">
        <f t="shared" ref="C32:D32" si="10">C30-C31</f>
        <v>215.18200000000002</v>
      </c>
      <c r="D32" s="210">
        <f t="shared" si="10"/>
        <v>226.64200000000005</v>
      </c>
    </row>
    <row r="33" spans="1:4">
      <c r="A33" s="83" t="s">
        <v>47</v>
      </c>
      <c r="B33" s="211">
        <f>SUM(B23,E23,H23,K23)</f>
        <v>26.095680000000002</v>
      </c>
      <c r="C33" s="211">
        <f>SUM(C23,F23,I23,L23)</f>
        <v>26.095680000000002</v>
      </c>
      <c r="D33" s="212">
        <f>SUM(D23,G23,J23,M23)</f>
        <v>26.095680000000002</v>
      </c>
    </row>
    <row r="34" spans="1:4">
      <c r="A34" s="84" t="s">
        <v>98</v>
      </c>
      <c r="B34" s="213">
        <f>B32-B33</f>
        <v>202.32432</v>
      </c>
      <c r="C34" s="213">
        <f t="shared" ref="C34:D34" si="11">C32-C33</f>
        <v>189.08632</v>
      </c>
      <c r="D34" s="214">
        <f t="shared" si="11"/>
        <v>200.54632000000004</v>
      </c>
    </row>
    <row r="35" spans="1:4">
      <c r="A35" s="77" t="s">
        <v>105</v>
      </c>
      <c r="B35" s="215">
        <f t="shared" ref="B35:D36" si="12">SUM(B24,E24,H24,K24)</f>
        <v>35.770000000000003</v>
      </c>
      <c r="C35" s="209">
        <f t="shared" si="12"/>
        <v>36.233800000000002</v>
      </c>
      <c r="D35" s="210">
        <f t="shared" si="12"/>
        <v>32.247000000000007</v>
      </c>
    </row>
    <row r="36" spans="1:4">
      <c r="A36" s="77" t="s">
        <v>51</v>
      </c>
      <c r="B36" s="215">
        <f t="shared" si="12"/>
        <v>5.7887500000000003</v>
      </c>
      <c r="C36" s="209">
        <f t="shared" si="12"/>
        <v>0</v>
      </c>
      <c r="D36" s="210">
        <f t="shared" si="12"/>
        <v>0</v>
      </c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15" sqref="A15"/>
    </sheetView>
  </sheetViews>
  <sheetFormatPr baseColWidth="10" defaultColWidth="9.1640625" defaultRowHeight="12" x14ac:dyDescent="0"/>
  <cols>
    <col min="1" max="1" width="28" style="75" customWidth="1"/>
    <col min="2" max="16384" width="9.1640625" style="75"/>
  </cols>
  <sheetData>
    <row r="1" spans="1:12">
      <c r="A1" s="85" t="s">
        <v>99</v>
      </c>
      <c r="B1" s="86">
        <v>1</v>
      </c>
      <c r="C1" s="86">
        <v>2</v>
      </c>
      <c r="D1" s="86">
        <v>3</v>
      </c>
      <c r="E1" s="86">
        <v>4</v>
      </c>
      <c r="F1" s="86">
        <v>5</v>
      </c>
      <c r="G1" s="86">
        <v>6</v>
      </c>
      <c r="H1" s="86">
        <v>7</v>
      </c>
      <c r="I1" s="86">
        <v>8</v>
      </c>
      <c r="J1" s="86">
        <v>9</v>
      </c>
      <c r="K1" s="86">
        <v>10</v>
      </c>
    </row>
    <row r="2" spans="1:12">
      <c r="A2" s="87" t="s">
        <v>100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2" s="91" customFormat="1">
      <c r="A3" s="89" t="s">
        <v>101</v>
      </c>
      <c r="B3" s="90">
        <f>'Marges par type de culture'!$B$30</f>
        <v>586.12</v>
      </c>
      <c r="C3" s="227">
        <f>(D3-B3)/2+B3</f>
        <v>581.81999999999994</v>
      </c>
      <c r="D3" s="90">
        <f>'Marges par type de culture'!$C$30</f>
        <v>577.52</v>
      </c>
      <c r="E3" s="90">
        <f>'Marges par type de culture'!$C$30</f>
        <v>577.52</v>
      </c>
      <c r="F3" s="90">
        <f>'Marges par type de culture'!$C$30</f>
        <v>577.52</v>
      </c>
      <c r="G3" s="90">
        <f>'Marges par type de culture'!$C$30</f>
        <v>577.52</v>
      </c>
      <c r="H3" s="90">
        <f>'Marges par type de culture'!$C$30</f>
        <v>577.52</v>
      </c>
      <c r="I3" s="90">
        <f>'Marges par type de culture'!$C$30</f>
        <v>577.52</v>
      </c>
      <c r="J3" s="90">
        <f>'Marges par type de culture'!$C$30</f>
        <v>577.52</v>
      </c>
      <c r="K3" s="90">
        <f>'Marges par type de culture'!$C$30</f>
        <v>577.52</v>
      </c>
    </row>
    <row r="4" spans="1:12">
      <c r="A4" s="92" t="s">
        <v>51</v>
      </c>
      <c r="B4" s="93">
        <f>'Marges par type de culture'!$B$36</f>
        <v>5.7887500000000003</v>
      </c>
      <c r="C4" s="97">
        <f>(D4-B4)/2+B4</f>
        <v>2.8943750000000001</v>
      </c>
      <c r="D4" s="93">
        <f>'Marges par type de culture'!$C$36</f>
        <v>0</v>
      </c>
      <c r="E4" s="93">
        <f>'Marges par type de culture'!$C$36</f>
        <v>0</v>
      </c>
      <c r="F4" s="93">
        <f>'Marges par type de culture'!$C$36</f>
        <v>0</v>
      </c>
      <c r="G4" s="93">
        <f>'Marges par type de culture'!$C$36</f>
        <v>0</v>
      </c>
      <c r="H4" s="93">
        <f>'Marges par type de culture'!$C$36</f>
        <v>0</v>
      </c>
      <c r="I4" s="93">
        <f>'Marges par type de culture'!$C$36</f>
        <v>0</v>
      </c>
      <c r="J4" s="93">
        <f>'Marges par type de culture'!$C$36</f>
        <v>0</v>
      </c>
      <c r="K4" s="93">
        <f>'Marges par type de culture'!$C$36</f>
        <v>0</v>
      </c>
    </row>
    <row r="5" spans="1:12">
      <c r="A5" s="73"/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2">
      <c r="A6" s="87" t="s">
        <v>102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2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2">
      <c r="A8" s="92" t="s">
        <v>184</v>
      </c>
      <c r="B8" s="93">
        <f>'Marges par type de culture'!$B$35</f>
        <v>35.770000000000003</v>
      </c>
      <c r="C8" s="97">
        <f>(D8-B8)/2+B8</f>
        <v>36.001900000000006</v>
      </c>
      <c r="D8" s="93">
        <f>'Marges par type de culture'!$C$35</f>
        <v>36.233800000000002</v>
      </c>
      <c r="E8" s="93">
        <f>'Marges par type de culture'!$C$35</f>
        <v>36.233800000000002</v>
      </c>
      <c r="F8" s="93">
        <f>'Marges par type de culture'!$C$35</f>
        <v>36.233800000000002</v>
      </c>
      <c r="G8" s="93">
        <f>'Marges par type de culture'!$C$35</f>
        <v>36.233800000000002</v>
      </c>
      <c r="H8" s="93">
        <f>'Marges par type de culture'!$C$35</f>
        <v>36.233800000000002</v>
      </c>
      <c r="I8" s="93">
        <f>'Marges par type de culture'!$C$35</f>
        <v>36.233800000000002</v>
      </c>
      <c r="J8" s="93">
        <f>'Marges par type de culture'!$C$35</f>
        <v>36.233800000000002</v>
      </c>
      <c r="K8" s="93">
        <f>'Marges par type de culture'!$C$35</f>
        <v>36.233800000000002</v>
      </c>
    </row>
    <row r="9" spans="1:12">
      <c r="A9" s="92" t="s">
        <v>103</v>
      </c>
      <c r="B9" s="93">
        <f>(C10-B10)*0.7</f>
        <v>1.6233000000000117</v>
      </c>
      <c r="C9" s="93">
        <f t="shared" ref="C9:J9" si="0">(D10-C10)*0.7</f>
        <v>1.623299999999972</v>
      </c>
      <c r="D9" s="93">
        <f t="shared" si="0"/>
        <v>0</v>
      </c>
      <c r="E9" s="93">
        <f t="shared" si="0"/>
        <v>0</v>
      </c>
      <c r="F9" s="93">
        <f t="shared" si="0"/>
        <v>0</v>
      </c>
      <c r="G9" s="93">
        <f t="shared" si="0"/>
        <v>0</v>
      </c>
      <c r="H9" s="93">
        <f t="shared" si="0"/>
        <v>0</v>
      </c>
      <c r="I9" s="93">
        <f t="shared" si="0"/>
        <v>0</v>
      </c>
      <c r="J9" s="93">
        <f t="shared" si="0"/>
        <v>0</v>
      </c>
      <c r="K9" s="93">
        <f>-SUM(B9:J9)</f>
        <v>-3.2465999999999839</v>
      </c>
    </row>
    <row r="10" spans="1:12">
      <c r="A10" s="92" t="s">
        <v>104</v>
      </c>
      <c r="B10" s="93">
        <f>'Marges par type de culture'!$B$31</f>
        <v>357.7</v>
      </c>
      <c r="C10" s="97">
        <f>(D10-B10)/2+B10</f>
        <v>360.01900000000001</v>
      </c>
      <c r="D10" s="93">
        <f>'Marges par type de culture'!$C$31</f>
        <v>362.33799999999997</v>
      </c>
      <c r="E10" s="93">
        <f>'Marges par type de culture'!$C$31</f>
        <v>362.33799999999997</v>
      </c>
      <c r="F10" s="93">
        <f>'Marges par type de culture'!$C$31</f>
        <v>362.33799999999997</v>
      </c>
      <c r="G10" s="93">
        <f>'Marges par type de culture'!$C$31</f>
        <v>362.33799999999997</v>
      </c>
      <c r="H10" s="93">
        <f>'Marges par type de culture'!$C$31</f>
        <v>362.33799999999997</v>
      </c>
      <c r="I10" s="93">
        <f>'Marges par type de culture'!$C$31</f>
        <v>362.33799999999997</v>
      </c>
      <c r="J10" s="93">
        <f>'Marges par type de culture'!$C$31</f>
        <v>362.33799999999997</v>
      </c>
      <c r="K10" s="93">
        <f>'Marges par type de culture'!$C$31</f>
        <v>362.33799999999997</v>
      </c>
    </row>
    <row r="11" spans="1:12">
      <c r="A11" s="92" t="s">
        <v>47</v>
      </c>
      <c r="B11" s="93">
        <f>'Marges par type de culture'!$B$33</f>
        <v>26.095680000000002</v>
      </c>
      <c r="C11" s="97">
        <f>(D11-B11)/2+B11</f>
        <v>26.095680000000002</v>
      </c>
      <c r="D11" s="93">
        <f>'Marges par type de culture'!$C$33</f>
        <v>26.095680000000002</v>
      </c>
      <c r="E11" s="93">
        <f>'Marges par type de culture'!$C$33</f>
        <v>26.095680000000002</v>
      </c>
      <c r="F11" s="93">
        <f>'Marges par type de culture'!$C$33</f>
        <v>26.095680000000002</v>
      </c>
      <c r="G11" s="93">
        <f>'Marges par type de culture'!$C$33</f>
        <v>26.095680000000002</v>
      </c>
      <c r="H11" s="93">
        <f>'Marges par type de culture'!$C$33</f>
        <v>26.095680000000002</v>
      </c>
      <c r="I11" s="93">
        <f>'Marges par type de culture'!$C$33</f>
        <v>26.095680000000002</v>
      </c>
      <c r="J11" s="93">
        <f>'Marges par type de culture'!$C$33</f>
        <v>26.095680000000002</v>
      </c>
      <c r="K11" s="93">
        <f>'Marges par type de culture'!$C$33</f>
        <v>26.095680000000002</v>
      </c>
    </row>
    <row r="12" spans="1:12">
      <c r="A12" s="73"/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2" ht="24">
      <c r="A13" s="112" t="s">
        <v>196</v>
      </c>
      <c r="B13" s="97">
        <f t="shared" ref="B13:K13" si="1">SUM(B2:B4)-SUM(B6:B11)</f>
        <v>170.71977000000004</v>
      </c>
      <c r="C13" s="97">
        <f t="shared" si="1"/>
        <v>160.97449499999993</v>
      </c>
      <c r="D13" s="97">
        <f t="shared" si="1"/>
        <v>152.85252000000003</v>
      </c>
      <c r="E13" s="97">
        <f t="shared" si="1"/>
        <v>152.85252000000003</v>
      </c>
      <c r="F13" s="97">
        <f t="shared" si="1"/>
        <v>152.85252000000003</v>
      </c>
      <c r="G13" s="97">
        <f t="shared" si="1"/>
        <v>152.85252000000003</v>
      </c>
      <c r="H13" s="97">
        <f t="shared" si="1"/>
        <v>152.85252000000003</v>
      </c>
      <c r="I13" s="97">
        <f t="shared" si="1"/>
        <v>152.85252000000003</v>
      </c>
      <c r="J13" s="97">
        <f t="shared" si="1"/>
        <v>152.85252000000003</v>
      </c>
      <c r="K13" s="97">
        <f t="shared" si="1"/>
        <v>156.09911999999997</v>
      </c>
      <c r="L13" s="98"/>
    </row>
    <row r="14" spans="1:12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21" spans="2:2">
      <c r="B21" s="101"/>
    </row>
    <row r="27" spans="2:2" s="91" customFormat="1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workbookViewId="0">
      <selection activeCell="L20" sqref="L20"/>
    </sheetView>
  </sheetViews>
  <sheetFormatPr baseColWidth="10" defaultColWidth="9.1640625" defaultRowHeight="12" x14ac:dyDescent="0"/>
  <cols>
    <col min="1" max="1" width="28" style="75" customWidth="1"/>
    <col min="2" max="16384" width="9.1640625" style="75"/>
  </cols>
  <sheetData>
    <row r="1" spans="1:12">
      <c r="A1" s="85" t="s">
        <v>99</v>
      </c>
      <c r="B1" s="86">
        <v>1</v>
      </c>
      <c r="C1" s="86">
        <v>2</v>
      </c>
      <c r="D1" s="86">
        <v>3</v>
      </c>
      <c r="E1" s="86">
        <v>4</v>
      </c>
      <c r="F1" s="86">
        <v>5</v>
      </c>
      <c r="G1" s="86">
        <v>6</v>
      </c>
      <c r="H1" s="86">
        <v>7</v>
      </c>
      <c r="I1" s="86">
        <v>8</v>
      </c>
      <c r="J1" s="86">
        <v>9</v>
      </c>
      <c r="K1" s="86">
        <v>10</v>
      </c>
    </row>
    <row r="2" spans="1:12">
      <c r="A2" s="87" t="s">
        <v>100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2" s="91" customFormat="1">
      <c r="A3" s="89" t="s">
        <v>101</v>
      </c>
      <c r="B3" s="90">
        <f>'Marges par type de culture'!$B$30</f>
        <v>586.12</v>
      </c>
      <c r="C3" s="97">
        <f>($E$9-$B$9)*1/3+$B$9</f>
        <v>345.95666666666665</v>
      </c>
      <c r="D3" s="97">
        <f>'Marges par type de culture'!$D$30</f>
        <v>549.11200000000008</v>
      </c>
      <c r="E3" s="90">
        <f>'Marges par type de culture'!$D$30</f>
        <v>549.11200000000008</v>
      </c>
      <c r="F3" s="90">
        <f>'Marges par type de culture'!$D$30</f>
        <v>549.11200000000008</v>
      </c>
      <c r="G3" s="90">
        <f>'Marges par type de culture'!$D$30</f>
        <v>549.11200000000008</v>
      </c>
      <c r="H3" s="90">
        <f>'Marges par type de culture'!$D$30</f>
        <v>549.11200000000008</v>
      </c>
      <c r="I3" s="90">
        <f>'Marges par type de culture'!$D$30</f>
        <v>549.11200000000008</v>
      </c>
      <c r="J3" s="90">
        <f>'Marges par type de culture'!$D$30</f>
        <v>549.11200000000008</v>
      </c>
      <c r="K3" s="90">
        <f>'Marges par type de culture'!$D$30</f>
        <v>549.11200000000008</v>
      </c>
    </row>
    <row r="4" spans="1:12">
      <c r="A4" s="92" t="s">
        <v>51</v>
      </c>
      <c r="B4" s="93">
        <f>'Marges par type de culture'!$B$36</f>
        <v>5.7887500000000003</v>
      </c>
      <c r="C4" s="97">
        <f>(D4-B4)/2+B4</f>
        <v>2.8943750000000001</v>
      </c>
      <c r="D4" s="93">
        <f>'Marges par type de culture'!$D$36</f>
        <v>0</v>
      </c>
      <c r="E4" s="93">
        <f>'Marges par type de culture'!$D$36</f>
        <v>0</v>
      </c>
      <c r="F4" s="93">
        <f>'Marges par type de culture'!$D$36</f>
        <v>0</v>
      </c>
      <c r="G4" s="93">
        <f>'Marges par type de culture'!$D$36</f>
        <v>0</v>
      </c>
      <c r="H4" s="93">
        <f>'Marges par type de culture'!$D$36</f>
        <v>0</v>
      </c>
      <c r="I4" s="93">
        <f>'Marges par type de culture'!$D$36</f>
        <v>0</v>
      </c>
      <c r="J4" s="93">
        <f>'Marges par type de culture'!$D$36</f>
        <v>0</v>
      </c>
      <c r="K4" s="93">
        <f>'Marges par type de culture'!$D$36</f>
        <v>0</v>
      </c>
    </row>
    <row r="5" spans="1:12">
      <c r="A5" s="73"/>
      <c r="B5" s="93"/>
      <c r="C5" s="93"/>
      <c r="D5" s="244"/>
      <c r="E5" s="93"/>
      <c r="F5" s="93"/>
      <c r="G5" s="93"/>
      <c r="H5" s="93"/>
      <c r="I5" s="93"/>
      <c r="J5" s="93"/>
      <c r="K5" s="93"/>
    </row>
    <row r="6" spans="1:12">
      <c r="A6" s="87" t="s">
        <v>102</v>
      </c>
      <c r="B6" s="93"/>
      <c r="C6" s="93"/>
      <c r="D6" s="244"/>
      <c r="E6" s="93"/>
      <c r="F6" s="93"/>
      <c r="G6" s="93"/>
      <c r="H6" s="93"/>
      <c r="I6" s="93"/>
      <c r="J6" s="93"/>
      <c r="K6" s="93"/>
    </row>
    <row r="7" spans="1:12">
      <c r="A7" s="92" t="s">
        <v>184</v>
      </c>
      <c r="B7" s="93">
        <f>'Marges par type de culture'!B35</f>
        <v>35.770000000000003</v>
      </c>
      <c r="C7" s="97">
        <f>(D7-B7)/2+B7</f>
        <v>34.008500000000005</v>
      </c>
      <c r="D7" s="93">
        <f>'Marges par type de culture'!$D$35</f>
        <v>32.247000000000007</v>
      </c>
      <c r="E7" s="93">
        <f>'Marges par type de culture'!$D$35</f>
        <v>32.247000000000007</v>
      </c>
      <c r="F7" s="93">
        <f>'Marges par type de culture'!$D$35</f>
        <v>32.247000000000007</v>
      </c>
      <c r="G7" s="93">
        <f>'Marges par type de culture'!$D$35</f>
        <v>32.247000000000007</v>
      </c>
      <c r="H7" s="93">
        <f>'Marges par type de culture'!$D$35</f>
        <v>32.247000000000007</v>
      </c>
      <c r="I7" s="93">
        <f>'Marges par type de culture'!$D$35</f>
        <v>32.247000000000007</v>
      </c>
      <c r="J7" s="93">
        <f>'Marges par type de culture'!$D$35</f>
        <v>32.247000000000007</v>
      </c>
      <c r="K7" s="93">
        <f>'Marges par type de culture'!$D$35</f>
        <v>32.247000000000007</v>
      </c>
    </row>
    <row r="8" spans="1:12">
      <c r="A8" s="92" t="s">
        <v>103</v>
      </c>
      <c r="B8" s="93">
        <f>IF(C9-B9&gt;0, C9-B9*0.7, 0)</f>
        <v>0</v>
      </c>
      <c r="C8" s="93">
        <f t="shared" ref="C8:J8" si="0">IF(D9-C9&gt;0, D9-C9*0.7, 0)</f>
        <v>121.40199999999999</v>
      </c>
      <c r="D8" s="93">
        <f>IF(E9-D9&gt;0, E9-D9*0.7, 0)</f>
        <v>0</v>
      </c>
      <c r="E8" s="93">
        <f t="shared" si="0"/>
        <v>0</v>
      </c>
      <c r="F8" s="93">
        <f t="shared" si="0"/>
        <v>0</v>
      </c>
      <c r="G8" s="93">
        <f t="shared" si="0"/>
        <v>0</v>
      </c>
      <c r="H8" s="93">
        <f t="shared" si="0"/>
        <v>0</v>
      </c>
      <c r="I8" s="93">
        <f t="shared" si="0"/>
        <v>0</v>
      </c>
      <c r="J8" s="93">
        <f t="shared" si="0"/>
        <v>0</v>
      </c>
      <c r="K8" s="93">
        <f>-SUM(B8:J8)</f>
        <v>-121.40199999999999</v>
      </c>
    </row>
    <row r="9" spans="1:12">
      <c r="A9" s="92" t="s">
        <v>104</v>
      </c>
      <c r="B9" s="93">
        <f>'Marges par type de culture'!$B$31</f>
        <v>357.7</v>
      </c>
      <c r="C9" s="97">
        <f>($E$9-$B$9)*2+$B$9</f>
        <v>287.24000000000007</v>
      </c>
      <c r="D9" s="93">
        <f>'Marges par type de culture'!$D$31</f>
        <v>322.47000000000003</v>
      </c>
      <c r="E9" s="93">
        <f>'Marges par type de culture'!$D$31</f>
        <v>322.47000000000003</v>
      </c>
      <c r="F9" s="93">
        <f>'Marges par type de culture'!$D$31</f>
        <v>322.47000000000003</v>
      </c>
      <c r="G9" s="93">
        <f>'Marges par type de culture'!$D$31</f>
        <v>322.47000000000003</v>
      </c>
      <c r="H9" s="93">
        <f>'Marges par type de culture'!$D$31</f>
        <v>322.47000000000003</v>
      </c>
      <c r="I9" s="93">
        <f>'Marges par type de culture'!$D$31</f>
        <v>322.47000000000003</v>
      </c>
      <c r="J9" s="93">
        <f>'Marges par type de culture'!$D$31</f>
        <v>322.47000000000003</v>
      </c>
      <c r="K9" s="93">
        <f>'Marges par type de culture'!$D$31</f>
        <v>322.47000000000003</v>
      </c>
    </row>
    <row r="10" spans="1:12">
      <c r="A10" s="94" t="s">
        <v>47</v>
      </c>
      <c r="B10" s="95">
        <f>'Marges par type de culture'!$B$33</f>
        <v>26.095680000000002</v>
      </c>
      <c r="C10" s="95">
        <f>(D10-B10)/2+B10</f>
        <v>26.095680000000002</v>
      </c>
      <c r="D10" s="95">
        <f>'Marges par type de culture'!$D$33</f>
        <v>26.095680000000002</v>
      </c>
      <c r="E10" s="102">
        <f>'Marges par type de culture'!$D$33</f>
        <v>26.095680000000002</v>
      </c>
      <c r="F10" s="102">
        <f>'Marges par type de culture'!$D$33</f>
        <v>26.095680000000002</v>
      </c>
      <c r="G10" s="102">
        <f>'Marges par type de culture'!$D$33</f>
        <v>26.095680000000002</v>
      </c>
      <c r="H10" s="102">
        <f>'Marges par type de culture'!$D$33</f>
        <v>26.095680000000002</v>
      </c>
      <c r="I10" s="102">
        <f>'Marges par type de culture'!$D$33</f>
        <v>26.095680000000002</v>
      </c>
      <c r="J10" s="102">
        <f>'Marges par type de culture'!$D$33</f>
        <v>26.095680000000002</v>
      </c>
      <c r="K10" s="102">
        <f>'Marges par type de culture'!$D$33</f>
        <v>26.095680000000002</v>
      </c>
      <c r="L10" s="103"/>
    </row>
    <row r="11" spans="1:12">
      <c r="A11" s="73"/>
      <c r="B11" s="96"/>
      <c r="C11" s="96"/>
      <c r="D11" s="96"/>
      <c r="E11" s="93"/>
      <c r="F11" s="93"/>
      <c r="G11" s="93"/>
      <c r="H11" s="93"/>
      <c r="I11" s="93"/>
      <c r="J11" s="93"/>
      <c r="K11" s="93"/>
      <c r="L11" s="103"/>
    </row>
    <row r="12" spans="1:12" ht="24">
      <c r="A12" s="104" t="s">
        <v>149</v>
      </c>
      <c r="B12" s="97">
        <f>SUM(B3:B4)-SUM(B7:B10)</f>
        <v>172.34307000000007</v>
      </c>
      <c r="C12" s="97">
        <f t="shared" ref="C12:K12" si="1">SUM(C3:C4)-SUM(C7:C10)</f>
        <v>-119.89513833333342</v>
      </c>
      <c r="D12" s="97">
        <f t="shared" si="1"/>
        <v>168.29932000000002</v>
      </c>
      <c r="E12" s="97">
        <f t="shared" si="1"/>
        <v>168.29932000000002</v>
      </c>
      <c r="F12" s="97">
        <f t="shared" si="1"/>
        <v>168.29932000000002</v>
      </c>
      <c r="G12" s="97">
        <f t="shared" si="1"/>
        <v>168.29932000000002</v>
      </c>
      <c r="H12" s="97">
        <f t="shared" si="1"/>
        <v>168.29932000000002</v>
      </c>
      <c r="I12" s="97">
        <f t="shared" si="1"/>
        <v>168.29932000000002</v>
      </c>
      <c r="J12" s="97">
        <f t="shared" si="1"/>
        <v>168.29932000000002</v>
      </c>
      <c r="K12" s="97">
        <f t="shared" si="1"/>
        <v>289.70132000000001</v>
      </c>
      <c r="L12" s="103"/>
    </row>
    <row r="13" spans="1:12" ht="36">
      <c r="A13" s="104" t="s">
        <v>158</v>
      </c>
      <c r="B13" s="105">
        <f>'Selon évolution actuelle'!B13</f>
        <v>170.71977000000004</v>
      </c>
      <c r="C13" s="105">
        <f>'Selon évolution actuelle'!C13</f>
        <v>160.97449499999993</v>
      </c>
      <c r="D13" s="105">
        <f>'Selon évolution actuelle'!D13</f>
        <v>152.85252000000003</v>
      </c>
      <c r="E13" s="105">
        <f>'Selon évolution actuelle'!E13</f>
        <v>152.85252000000003</v>
      </c>
      <c r="F13" s="105">
        <f>'Selon évolution actuelle'!F13</f>
        <v>152.85252000000003</v>
      </c>
      <c r="G13" s="105">
        <f>'Selon évolution actuelle'!G13</f>
        <v>152.85252000000003</v>
      </c>
      <c r="H13" s="105">
        <f>'Selon évolution actuelle'!H13</f>
        <v>152.85252000000003</v>
      </c>
      <c r="I13" s="105">
        <f>'Selon évolution actuelle'!I13</f>
        <v>152.85252000000003</v>
      </c>
      <c r="J13" s="105">
        <f>'Selon évolution actuelle'!J13</f>
        <v>152.85252000000003</v>
      </c>
      <c r="K13" s="105">
        <f>'Selon évolution actuelle'!K13</f>
        <v>156.09911999999997</v>
      </c>
      <c r="L13" s="103"/>
    </row>
    <row r="14" spans="1:12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3"/>
    </row>
    <row r="15" spans="1:12" ht="36">
      <c r="A15" s="112" t="s">
        <v>185</v>
      </c>
      <c r="B15" s="97">
        <f>B12-B13</f>
        <v>1.6233000000000288</v>
      </c>
      <c r="C15" s="97">
        <f t="shared" ref="C15:K15" si="2">C12-C13</f>
        <v>-280.86963333333335</v>
      </c>
      <c r="D15" s="97">
        <f t="shared" si="2"/>
        <v>15.446799999999996</v>
      </c>
      <c r="E15" s="97">
        <f t="shared" si="2"/>
        <v>15.446799999999996</v>
      </c>
      <c r="F15" s="97">
        <f t="shared" si="2"/>
        <v>15.446799999999996</v>
      </c>
      <c r="G15" s="97">
        <f t="shared" si="2"/>
        <v>15.446799999999996</v>
      </c>
      <c r="H15" s="97">
        <f t="shared" si="2"/>
        <v>15.446799999999996</v>
      </c>
      <c r="I15" s="97">
        <f t="shared" si="2"/>
        <v>15.446799999999996</v>
      </c>
      <c r="J15" s="97">
        <f t="shared" si="2"/>
        <v>15.446799999999996</v>
      </c>
      <c r="K15" s="97">
        <f t="shared" si="2"/>
        <v>133.60220000000004</v>
      </c>
      <c r="L15" s="98"/>
    </row>
    <row r="17" spans="1:12" ht="24">
      <c r="A17" s="107" t="s">
        <v>106</v>
      </c>
      <c r="B17" s="108">
        <f>NPV('Parametres economiques'!$B$5,'Avec plus de légumineuses'!B15:K15)</f>
        <v>-116.98851175862593</v>
      </c>
      <c r="C17" s="109" t="s">
        <v>107</v>
      </c>
      <c r="E17" s="110" t="s">
        <v>108</v>
      </c>
    </row>
    <row r="18" spans="1:12">
      <c r="A18" s="98" t="s">
        <v>109</v>
      </c>
      <c r="B18" s="111">
        <f>IRR(B15:K15)</f>
        <v>-2.2747751708687147E-2</v>
      </c>
      <c r="E18" s="110" t="s">
        <v>110</v>
      </c>
    </row>
    <row r="19" spans="1:12">
      <c r="B19" s="101"/>
    </row>
    <row r="22" spans="1:12" s="98" customFormat="1">
      <c r="A22" s="231" t="s">
        <v>111</v>
      </c>
      <c r="B22" s="230" t="s">
        <v>186</v>
      </c>
    </row>
    <row r="23" spans="1:12">
      <c r="A23" s="232" t="s">
        <v>112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8"/>
    </row>
    <row r="24" spans="1:12">
      <c r="A24" s="233" t="s">
        <v>113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</row>
    <row r="25" spans="1:12" s="91" customFormat="1">
      <c r="A25" s="234" t="s">
        <v>114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12">
      <c r="A26" s="232" t="s">
        <v>115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8"/>
    </row>
    <row r="27" spans="1:12">
      <c r="A27" s="233" t="s">
        <v>116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</row>
    <row r="28" spans="1:12">
      <c r="A28" s="233" t="s">
        <v>117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</row>
    <row r="29" spans="1:12">
      <c r="A29" s="233" t="s">
        <v>118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12">
      <c r="A30" s="233" t="s">
        <v>119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</row>
    <row r="31" spans="1:12">
      <c r="A31" s="235" t="s">
        <v>120</v>
      </c>
      <c r="B31" s="240">
        <f>SUM(B23:B25)-SUM(B27:B30)</f>
        <v>0</v>
      </c>
      <c r="C31" s="240">
        <f t="shared" ref="C31:K31" si="3">SUM(C23:C25)-SUM(C27:C30)</f>
        <v>0</v>
      </c>
      <c r="D31" s="240">
        <f t="shared" si="3"/>
        <v>0</v>
      </c>
      <c r="E31" s="240">
        <f t="shared" si="3"/>
        <v>0</v>
      </c>
      <c r="F31" s="240">
        <f t="shared" si="3"/>
        <v>0</v>
      </c>
      <c r="G31" s="240">
        <f t="shared" si="3"/>
        <v>0</v>
      </c>
      <c r="H31" s="240">
        <f t="shared" si="3"/>
        <v>0</v>
      </c>
      <c r="I31" s="240">
        <f t="shared" si="3"/>
        <v>0</v>
      </c>
      <c r="J31" s="240">
        <f t="shared" si="3"/>
        <v>0</v>
      </c>
      <c r="K31" s="240">
        <f t="shared" si="3"/>
        <v>0</v>
      </c>
      <c r="L31" s="98"/>
    </row>
    <row r="32" spans="1:12" s="220" customFormat="1"/>
    <row r="33" spans="1:12" ht="24">
      <c r="A33" s="237" t="s">
        <v>121</v>
      </c>
      <c r="B33" s="239">
        <f>B31+B15</f>
        <v>1.6233000000000288</v>
      </c>
      <c r="C33" s="239">
        <f t="shared" ref="C33:K33" si="4">C31+C15</f>
        <v>-280.86963333333335</v>
      </c>
      <c r="D33" s="239">
        <f t="shared" si="4"/>
        <v>15.446799999999996</v>
      </c>
      <c r="E33" s="239">
        <f t="shared" si="4"/>
        <v>15.446799999999996</v>
      </c>
      <c r="F33" s="239">
        <f t="shared" si="4"/>
        <v>15.446799999999996</v>
      </c>
      <c r="G33" s="239">
        <f t="shared" si="4"/>
        <v>15.446799999999996</v>
      </c>
      <c r="H33" s="239">
        <f t="shared" si="4"/>
        <v>15.446799999999996</v>
      </c>
      <c r="I33" s="239">
        <f t="shared" si="4"/>
        <v>15.446799999999996</v>
      </c>
      <c r="J33" s="239">
        <f t="shared" si="4"/>
        <v>15.446799999999996</v>
      </c>
      <c r="K33" s="239">
        <f t="shared" si="4"/>
        <v>133.60220000000004</v>
      </c>
      <c r="L33" s="98"/>
    </row>
    <row r="34" spans="1:12">
      <c r="A34" s="236"/>
    </row>
    <row r="35" spans="1:12" ht="24">
      <c r="A35" s="238" t="s">
        <v>106</v>
      </c>
      <c r="B35" s="241">
        <f>NPV('Parametres economiques'!$B$5,'Avec plus de légumineuses'!B33:K33)</f>
        <v>-116.98851175862593</v>
      </c>
      <c r="C35" s="243" t="s">
        <v>122</v>
      </c>
      <c r="E35" s="110" t="s">
        <v>108</v>
      </c>
    </row>
    <row r="36" spans="1:12">
      <c r="A36" s="231" t="s">
        <v>109</v>
      </c>
      <c r="B36" s="242">
        <f>IRR(B33:K33)</f>
        <v>-2.2747751708687147E-2</v>
      </c>
      <c r="E36" s="110" t="s">
        <v>110</v>
      </c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Parametres economiques</vt:lpstr>
      <vt:lpstr>Répartition des cultures</vt:lpstr>
      <vt:lpstr>humide-BD</vt:lpstr>
      <vt:lpstr>humide-BT</vt:lpstr>
      <vt:lpstr>humide-orge</vt:lpstr>
      <vt:lpstr>humide lég alim_feverole</vt:lpstr>
      <vt:lpstr>Marges par type de culture</vt:lpstr>
      <vt:lpstr>Selon évolution actuelle</vt:lpstr>
      <vt:lpstr>Avec plus de légumineuses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Q</dc:creator>
  <cp:lastModifiedBy>Emma Q</cp:lastModifiedBy>
  <dcterms:created xsi:type="dcterms:W3CDTF">2015-06-04T08:42:05Z</dcterms:created>
  <dcterms:modified xsi:type="dcterms:W3CDTF">2015-11-24T16:34:07Z</dcterms:modified>
</cp:coreProperties>
</file>