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306"/>
  <workbookPr showInkAnnotation="0" autoCompressPictures="0"/>
  <bookViews>
    <workbookView xWindow="280" yWindow="0" windowWidth="25480" windowHeight="16060" tabRatio="616"/>
  </bookViews>
  <sheets>
    <sheet name="Parametres economiques" sheetId="27" r:id="rId1"/>
    <sheet name="Répartition des cultures" sheetId="25" r:id="rId2"/>
    <sheet name="CES1_Abricot" sheetId="6" r:id="rId3"/>
    <sheet name="CES1_Olivier" sheetId="11" r:id="rId4"/>
    <sheet name="CES2_Abricot" sheetId="29" r:id="rId5"/>
    <sheet name="CES2_Olivier" sheetId="30" r:id="rId6"/>
    <sheet name="Parcours (lait et viande)" sheetId="31" r:id="rId7"/>
    <sheet name="CES1_Marges par activité agric" sheetId="22" r:id="rId8"/>
    <sheet name="CES1_Agric sans aménagement CES" sheetId="23" r:id="rId9"/>
    <sheet name="CES1_Agric avec aménagement CES" sheetId="24" r:id="rId10"/>
    <sheet name="CES2_Marges par activité agric" sheetId="32" r:id="rId11"/>
    <sheet name="CES2_Agric sans aménagement CES" sheetId="33" r:id="rId12"/>
    <sheet name="CES2_Agric avec aménagement CES" sheetId="34" r:id="rId13"/>
    <sheet name="Barrage" sheetId="28" r:id="rId14"/>
    <sheet name="CES_Barrage sans aménagement" sheetId="35" r:id="rId15"/>
    <sheet name="CES_Barrage avec aménagement" sheetId="36" r:id="rId16"/>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K7" i="24" l="1"/>
  <c r="C9" i="23"/>
  <c r="C3" i="24"/>
  <c r="C9" i="24"/>
  <c r="C3" i="34"/>
  <c r="C9" i="34"/>
  <c r="E16" i="36"/>
  <c r="C16" i="36"/>
  <c r="B15" i="36"/>
  <c r="G14" i="36"/>
  <c r="H14" i="28"/>
  <c r="C13" i="28"/>
  <c r="H12" i="28"/>
  <c r="B14" i="36"/>
  <c r="B17" i="36"/>
  <c r="C17" i="36"/>
  <c r="B20" i="36"/>
  <c r="B23" i="36"/>
  <c r="D17" i="36"/>
  <c r="D16" i="36"/>
  <c r="C15" i="36"/>
  <c r="C20" i="36"/>
  <c r="C23" i="36"/>
  <c r="E17" i="36"/>
  <c r="D15" i="36"/>
  <c r="D20" i="36"/>
  <c r="D23" i="36"/>
  <c r="F17" i="36"/>
  <c r="F16" i="36"/>
  <c r="E15" i="36"/>
  <c r="E20" i="36"/>
  <c r="E23" i="36"/>
  <c r="G17" i="36"/>
  <c r="G16" i="36"/>
  <c r="F15" i="36"/>
  <c r="F20" i="36"/>
  <c r="F23" i="36"/>
  <c r="H17" i="36"/>
  <c r="H16" i="36"/>
  <c r="G15" i="36"/>
  <c r="G20" i="36"/>
  <c r="G23" i="36"/>
  <c r="I17" i="36"/>
  <c r="I16" i="36"/>
  <c r="H15" i="36"/>
  <c r="H20" i="36"/>
  <c r="H23" i="36"/>
  <c r="J17" i="36"/>
  <c r="J16" i="36"/>
  <c r="I15" i="36"/>
  <c r="I20" i="36"/>
  <c r="I23" i="36"/>
  <c r="K17" i="36"/>
  <c r="K16" i="36"/>
  <c r="J15" i="36"/>
  <c r="J20" i="36"/>
  <c r="J23" i="36"/>
  <c r="K15" i="36"/>
  <c r="K20" i="36"/>
  <c r="K23" i="36"/>
  <c r="B26" i="36"/>
  <c r="B25" i="36"/>
  <c r="H13" i="28"/>
  <c r="B15" i="35"/>
  <c r="C15" i="35"/>
  <c r="D15" i="35"/>
  <c r="E15" i="35"/>
  <c r="F15" i="35"/>
  <c r="G15" i="35"/>
  <c r="H15" i="35"/>
  <c r="I15" i="35"/>
  <c r="J15" i="35"/>
  <c r="K15" i="35"/>
  <c r="B18" i="36"/>
  <c r="C18" i="36"/>
  <c r="D18" i="36"/>
  <c r="E18" i="36"/>
  <c r="F18" i="36"/>
  <c r="G18" i="36"/>
  <c r="H18" i="36"/>
  <c r="I18" i="36"/>
  <c r="J18" i="36"/>
  <c r="K18" i="36"/>
  <c r="B16" i="36"/>
  <c r="B14" i="35"/>
  <c r="C14" i="35"/>
  <c r="D14" i="35"/>
  <c r="E14" i="35"/>
  <c r="F14" i="35"/>
  <c r="G14" i="35"/>
  <c r="H14" i="35"/>
  <c r="I14" i="35"/>
  <c r="J14" i="35"/>
  <c r="K14" i="35"/>
  <c r="C7" i="28"/>
  <c r="H7" i="28"/>
  <c r="H9" i="28"/>
  <c r="B4" i="36"/>
  <c r="C8" i="28"/>
  <c r="H8" i="28"/>
  <c r="B5" i="36"/>
  <c r="C5" i="36"/>
  <c r="D5" i="36"/>
  <c r="E5" i="36"/>
  <c r="F5" i="36"/>
  <c r="G5" i="36"/>
  <c r="H5" i="36"/>
  <c r="I5" i="36"/>
  <c r="J5" i="36"/>
  <c r="K5" i="36"/>
  <c r="K9" i="36"/>
  <c r="C4" i="36"/>
  <c r="D4" i="36"/>
  <c r="E4" i="36"/>
  <c r="F4" i="36"/>
  <c r="G4" i="36"/>
  <c r="H4" i="36"/>
  <c r="I4" i="36"/>
  <c r="J4" i="36"/>
  <c r="K4" i="36"/>
  <c r="K6" i="36"/>
  <c r="K10" i="36"/>
  <c r="K11" i="36"/>
  <c r="B5" i="35"/>
  <c r="C5" i="35"/>
  <c r="D5" i="35"/>
  <c r="E5" i="35"/>
  <c r="F5" i="35"/>
  <c r="G5" i="35"/>
  <c r="H5" i="35"/>
  <c r="I5" i="35"/>
  <c r="J5" i="35"/>
  <c r="K5" i="35"/>
  <c r="K8" i="35"/>
  <c r="B4" i="35"/>
  <c r="C4" i="35"/>
  <c r="D4" i="35"/>
  <c r="E4" i="35"/>
  <c r="F4" i="35"/>
  <c r="G4" i="35"/>
  <c r="H4" i="35"/>
  <c r="I4" i="35"/>
  <c r="J4" i="35"/>
  <c r="K4" i="35"/>
  <c r="K6" i="35"/>
  <c r="K9" i="35"/>
  <c r="K10" i="35"/>
  <c r="B13" i="35"/>
  <c r="C13" i="35"/>
  <c r="D13" i="35"/>
  <c r="E13" i="35"/>
  <c r="F13" i="35"/>
  <c r="G13" i="35"/>
  <c r="H13" i="35"/>
  <c r="I13" i="35"/>
  <c r="J13" i="35"/>
  <c r="K13" i="35"/>
  <c r="K17" i="35"/>
  <c r="K21" i="36"/>
  <c r="J9" i="36"/>
  <c r="J6" i="36"/>
  <c r="J10" i="36"/>
  <c r="J11" i="36"/>
  <c r="J8" i="35"/>
  <c r="J6" i="35"/>
  <c r="J9" i="35"/>
  <c r="J10" i="35"/>
  <c r="J17" i="35"/>
  <c r="J21" i="36"/>
  <c r="I9" i="36"/>
  <c r="I6" i="36"/>
  <c r="I10" i="36"/>
  <c r="I11" i="36"/>
  <c r="I8" i="35"/>
  <c r="I6" i="35"/>
  <c r="I9" i="35"/>
  <c r="I10" i="35"/>
  <c r="I17" i="35"/>
  <c r="I21" i="36"/>
  <c r="H9" i="36"/>
  <c r="H6" i="36"/>
  <c r="H10" i="36"/>
  <c r="H11" i="36"/>
  <c r="H8" i="35"/>
  <c r="H6" i="35"/>
  <c r="H9" i="35"/>
  <c r="H10" i="35"/>
  <c r="H17" i="35"/>
  <c r="H21" i="36"/>
  <c r="G9" i="36"/>
  <c r="G6" i="36"/>
  <c r="G10" i="36"/>
  <c r="G11" i="36"/>
  <c r="G8" i="35"/>
  <c r="G6" i="35"/>
  <c r="G9" i="35"/>
  <c r="G10" i="35"/>
  <c r="G17" i="35"/>
  <c r="G21" i="36"/>
  <c r="F9" i="36"/>
  <c r="F6" i="36"/>
  <c r="F10" i="36"/>
  <c r="F11" i="36"/>
  <c r="F8" i="35"/>
  <c r="F6" i="35"/>
  <c r="F9" i="35"/>
  <c r="F10" i="35"/>
  <c r="F17" i="35"/>
  <c r="F21" i="36"/>
  <c r="E9" i="36"/>
  <c r="E6" i="36"/>
  <c r="E10" i="36"/>
  <c r="E11" i="36"/>
  <c r="E8" i="35"/>
  <c r="E6" i="35"/>
  <c r="E9" i="35"/>
  <c r="E10" i="35"/>
  <c r="E17" i="35"/>
  <c r="E21" i="36"/>
  <c r="D9" i="36"/>
  <c r="D6" i="36"/>
  <c r="D10" i="36"/>
  <c r="D11" i="36"/>
  <c r="D8" i="35"/>
  <c r="D6" i="35"/>
  <c r="D9" i="35"/>
  <c r="D10" i="35"/>
  <c r="D17" i="35"/>
  <c r="D21" i="36"/>
  <c r="C9" i="36"/>
  <c r="C6" i="36"/>
  <c r="C10" i="36"/>
  <c r="C11" i="36"/>
  <c r="C8" i="35"/>
  <c r="C6" i="35"/>
  <c r="C9" i="35"/>
  <c r="C10" i="35"/>
  <c r="C17" i="35"/>
  <c r="C21" i="36"/>
  <c r="B9" i="36"/>
  <c r="B6" i="36"/>
  <c r="B10" i="36"/>
  <c r="B11" i="36"/>
  <c r="B8" i="35"/>
  <c r="B6" i="35"/>
  <c r="B9" i="35"/>
  <c r="B10" i="35"/>
  <c r="B17" i="35"/>
  <c r="B21" i="36"/>
  <c r="B8" i="34"/>
  <c r="B12" i="34"/>
  <c r="B15" i="34"/>
  <c r="C8" i="34"/>
  <c r="K8" i="34"/>
  <c r="K12" i="34"/>
  <c r="K15" i="34"/>
  <c r="J15" i="34"/>
  <c r="I15" i="34"/>
  <c r="H15" i="34"/>
  <c r="G15" i="34"/>
  <c r="F15" i="34"/>
  <c r="E15" i="34"/>
  <c r="D15" i="34"/>
  <c r="C12" i="34"/>
  <c r="C15" i="34"/>
  <c r="B8" i="24"/>
  <c r="B12" i="24"/>
  <c r="B8" i="23"/>
  <c r="B12" i="23"/>
  <c r="B13" i="24"/>
  <c r="B15" i="24"/>
  <c r="C10" i="30"/>
  <c r="C10" i="29"/>
  <c r="C10" i="11"/>
  <c r="C11" i="29"/>
  <c r="K10" i="34"/>
  <c r="J10" i="34"/>
  <c r="I10" i="34"/>
  <c r="H10" i="34"/>
  <c r="G10" i="34"/>
  <c r="F10" i="34"/>
  <c r="E10" i="34"/>
  <c r="D10" i="34"/>
  <c r="B10" i="34"/>
  <c r="K9" i="34"/>
  <c r="J9" i="34"/>
  <c r="I9" i="34"/>
  <c r="H9" i="34"/>
  <c r="G9" i="34"/>
  <c r="F9" i="34"/>
  <c r="E9" i="34"/>
  <c r="D9" i="34"/>
  <c r="B9" i="34"/>
  <c r="K7" i="34"/>
  <c r="J7" i="34"/>
  <c r="I7" i="34"/>
  <c r="H7" i="34"/>
  <c r="G7" i="34"/>
  <c r="F7" i="34"/>
  <c r="E7" i="34"/>
  <c r="D7" i="34"/>
  <c r="B7" i="34"/>
  <c r="K4" i="34"/>
  <c r="J4" i="34"/>
  <c r="I4" i="34"/>
  <c r="H4" i="34"/>
  <c r="G4" i="34"/>
  <c r="F4" i="34"/>
  <c r="E4" i="34"/>
  <c r="D4" i="34"/>
  <c r="B4" i="34"/>
  <c r="K3" i="34"/>
  <c r="J3" i="34"/>
  <c r="I3" i="34"/>
  <c r="H3" i="34"/>
  <c r="G3" i="34"/>
  <c r="F3" i="34"/>
  <c r="E3" i="34"/>
  <c r="D3" i="34"/>
  <c r="B13" i="32"/>
  <c r="B7" i="32"/>
  <c r="B14" i="32"/>
  <c r="E7" i="32"/>
  <c r="E14" i="32"/>
  <c r="B35" i="32"/>
  <c r="B3" i="34"/>
  <c r="E7" i="22"/>
  <c r="F7" i="22"/>
  <c r="F14" i="22"/>
  <c r="C35" i="22"/>
  <c r="D3" i="23"/>
  <c r="E14" i="22"/>
  <c r="B35" i="22"/>
  <c r="B3" i="23"/>
  <c r="C3" i="23"/>
  <c r="D4" i="23"/>
  <c r="B4" i="23"/>
  <c r="C4" i="23"/>
  <c r="D7" i="23"/>
  <c r="B7" i="23"/>
  <c r="C7" i="23"/>
  <c r="D9" i="23"/>
  <c r="B9" i="23"/>
  <c r="C8" i="23"/>
  <c r="D10" i="23"/>
  <c r="B10" i="23"/>
  <c r="C10" i="23"/>
  <c r="C12" i="23"/>
  <c r="C13" i="24"/>
  <c r="E9" i="24"/>
  <c r="B9" i="24"/>
  <c r="D4" i="24"/>
  <c r="B4" i="24"/>
  <c r="C4" i="24"/>
  <c r="D7" i="24"/>
  <c r="B7" i="24"/>
  <c r="C7" i="24"/>
  <c r="D9" i="24"/>
  <c r="C8" i="24"/>
  <c r="D10" i="24"/>
  <c r="B10" i="24"/>
  <c r="C10" i="24"/>
  <c r="C12" i="24"/>
  <c r="C15" i="24"/>
  <c r="B3" i="24"/>
  <c r="C13" i="32"/>
  <c r="C7" i="32"/>
  <c r="C14" i="32"/>
  <c r="F7" i="32"/>
  <c r="F14" i="32"/>
  <c r="C35" i="32"/>
  <c r="K3" i="33"/>
  <c r="K4" i="33"/>
  <c r="K7" i="33"/>
  <c r="D9" i="33"/>
  <c r="B9" i="33"/>
  <c r="C9" i="33"/>
  <c r="B8" i="33"/>
  <c r="C8" i="33"/>
  <c r="E9" i="33"/>
  <c r="D8" i="33"/>
  <c r="F9" i="33"/>
  <c r="E8" i="33"/>
  <c r="G9" i="33"/>
  <c r="F8" i="33"/>
  <c r="H9" i="33"/>
  <c r="G8" i="33"/>
  <c r="I9" i="33"/>
  <c r="H8" i="33"/>
  <c r="J9" i="33"/>
  <c r="I8" i="33"/>
  <c r="K9" i="33"/>
  <c r="J8" i="33"/>
  <c r="K8" i="33"/>
  <c r="K10" i="33"/>
  <c r="K12" i="33"/>
  <c r="K13" i="34"/>
  <c r="J3" i="33"/>
  <c r="J4" i="33"/>
  <c r="J7" i="33"/>
  <c r="J10" i="33"/>
  <c r="J12" i="33"/>
  <c r="J13" i="34"/>
  <c r="I3" i="33"/>
  <c r="I4" i="33"/>
  <c r="I7" i="33"/>
  <c r="I10" i="33"/>
  <c r="I12" i="33"/>
  <c r="I13" i="34"/>
  <c r="H3" i="33"/>
  <c r="H4" i="33"/>
  <c r="H7" i="33"/>
  <c r="H10" i="33"/>
  <c r="H12" i="33"/>
  <c r="H13" i="34"/>
  <c r="G3" i="33"/>
  <c r="G4" i="33"/>
  <c r="G7" i="33"/>
  <c r="G10" i="33"/>
  <c r="G12" i="33"/>
  <c r="G13" i="34"/>
  <c r="F3" i="33"/>
  <c r="F4" i="33"/>
  <c r="F7" i="33"/>
  <c r="F10" i="33"/>
  <c r="F12" i="33"/>
  <c r="F13" i="34"/>
  <c r="E3" i="33"/>
  <c r="E4" i="33"/>
  <c r="E7" i="33"/>
  <c r="E10" i="33"/>
  <c r="E12" i="33"/>
  <c r="E13" i="34"/>
  <c r="D3" i="33"/>
  <c r="D4" i="33"/>
  <c r="D7" i="33"/>
  <c r="D10" i="33"/>
  <c r="D12" i="33"/>
  <c r="D13" i="34"/>
  <c r="B3" i="33"/>
  <c r="C3" i="33"/>
  <c r="B4" i="33"/>
  <c r="C4" i="33"/>
  <c r="B7" i="33"/>
  <c r="C7" i="33"/>
  <c r="B10" i="33"/>
  <c r="C10" i="33"/>
  <c r="C12" i="33"/>
  <c r="C13" i="34"/>
  <c r="B12" i="33"/>
  <c r="B13" i="34"/>
  <c r="K3" i="23"/>
  <c r="K4" i="23"/>
  <c r="K7" i="23"/>
  <c r="E9" i="23"/>
  <c r="D8" i="23"/>
  <c r="F9" i="23"/>
  <c r="E8" i="23"/>
  <c r="G9" i="23"/>
  <c r="F8" i="23"/>
  <c r="H9" i="23"/>
  <c r="G8" i="23"/>
  <c r="I9" i="23"/>
  <c r="H8" i="23"/>
  <c r="J9" i="23"/>
  <c r="I8" i="23"/>
  <c r="K9" i="23"/>
  <c r="J8" i="23"/>
  <c r="K8" i="23"/>
  <c r="K10" i="23"/>
  <c r="K12" i="23"/>
  <c r="K13" i="24"/>
  <c r="J3" i="23"/>
  <c r="J4" i="23"/>
  <c r="J7" i="23"/>
  <c r="J10" i="23"/>
  <c r="J12" i="23"/>
  <c r="J13" i="24"/>
  <c r="I3" i="23"/>
  <c r="I4" i="23"/>
  <c r="I7" i="23"/>
  <c r="I10" i="23"/>
  <c r="I12" i="23"/>
  <c r="I13" i="24"/>
  <c r="H3" i="23"/>
  <c r="H4" i="23"/>
  <c r="H7" i="23"/>
  <c r="H10" i="23"/>
  <c r="H12" i="23"/>
  <c r="H13" i="24"/>
  <c r="G3" i="23"/>
  <c r="G4" i="23"/>
  <c r="G7" i="23"/>
  <c r="G10" i="23"/>
  <c r="G12" i="23"/>
  <c r="G13" i="24"/>
  <c r="F3" i="23"/>
  <c r="F4" i="23"/>
  <c r="F7" i="23"/>
  <c r="F10" i="23"/>
  <c r="F12" i="23"/>
  <c r="F13" i="24"/>
  <c r="E3" i="23"/>
  <c r="E4" i="23"/>
  <c r="E7" i="23"/>
  <c r="E10" i="23"/>
  <c r="E12" i="23"/>
  <c r="E13" i="24"/>
  <c r="D12" i="23"/>
  <c r="D13" i="24"/>
  <c r="C11" i="30"/>
  <c r="C18" i="29"/>
  <c r="C19" i="29"/>
  <c r="C20" i="29"/>
  <c r="C21" i="29"/>
  <c r="C35" i="29"/>
  <c r="C36" i="29"/>
  <c r="C37" i="29"/>
  <c r="C38" i="29"/>
  <c r="C39" i="29"/>
  <c r="C40" i="29"/>
  <c r="G4" i="32"/>
  <c r="E4" i="32"/>
  <c r="D4" i="32"/>
  <c r="B4" i="32"/>
  <c r="G30" i="32"/>
  <c r="E30" i="32"/>
  <c r="D30" i="32"/>
  <c r="B30" i="32"/>
  <c r="G28" i="32"/>
  <c r="E28" i="32"/>
  <c r="D28" i="32"/>
  <c r="B28" i="32"/>
  <c r="G22" i="32"/>
  <c r="E22" i="32"/>
  <c r="D22" i="32"/>
  <c r="B22" i="32"/>
  <c r="G21" i="32"/>
  <c r="C48" i="30"/>
  <c r="E21" i="32"/>
  <c r="D21" i="32"/>
  <c r="B21" i="32"/>
  <c r="G20" i="32"/>
  <c r="E20" i="32"/>
  <c r="D20" i="32"/>
  <c r="B20" i="32"/>
  <c r="G19" i="32"/>
  <c r="C36" i="30"/>
  <c r="C38" i="30"/>
  <c r="C40" i="30"/>
  <c r="E19" i="32"/>
  <c r="D19" i="32"/>
  <c r="B19" i="32"/>
  <c r="G18" i="32"/>
  <c r="E18" i="32"/>
  <c r="D18" i="32"/>
  <c r="B18" i="32"/>
  <c r="G17" i="32"/>
  <c r="E17" i="32"/>
  <c r="D17" i="32"/>
  <c r="B17" i="32"/>
  <c r="G16" i="32"/>
  <c r="E16" i="32"/>
  <c r="D16" i="32"/>
  <c r="B16" i="32"/>
  <c r="D13" i="32"/>
  <c r="G7" i="32"/>
  <c r="D7" i="32"/>
  <c r="G5" i="32"/>
  <c r="E5" i="32"/>
  <c r="D5" i="32"/>
  <c r="B5" i="32"/>
  <c r="D41" i="32"/>
  <c r="C41" i="32"/>
  <c r="B41" i="32"/>
  <c r="D40" i="32"/>
  <c r="C40" i="32"/>
  <c r="B40" i="32"/>
  <c r="D14" i="32"/>
  <c r="G14" i="32"/>
  <c r="J12" i="32"/>
  <c r="J11" i="32"/>
  <c r="J10" i="32"/>
  <c r="J9" i="32"/>
  <c r="J8" i="32"/>
  <c r="J4" i="32"/>
  <c r="J14" i="32"/>
  <c r="D35" i="32"/>
  <c r="D23" i="32"/>
  <c r="D24" i="32"/>
  <c r="G23" i="32"/>
  <c r="G24" i="32"/>
  <c r="D36" i="32"/>
  <c r="D37" i="32"/>
  <c r="D38" i="32"/>
  <c r="D39" i="32"/>
  <c r="C4" i="32"/>
  <c r="F4" i="32"/>
  <c r="H12" i="32"/>
  <c r="I12" i="32"/>
  <c r="H11" i="32"/>
  <c r="I11" i="32"/>
  <c r="H10" i="32"/>
  <c r="I10" i="32"/>
  <c r="H9" i="32"/>
  <c r="I9" i="32"/>
  <c r="H8" i="32"/>
  <c r="I8" i="32"/>
  <c r="H4" i="32"/>
  <c r="I4" i="32"/>
  <c r="I14" i="32"/>
  <c r="C16" i="32"/>
  <c r="C17" i="32"/>
  <c r="C18" i="32"/>
  <c r="C19" i="32"/>
  <c r="C20" i="32"/>
  <c r="C21" i="32"/>
  <c r="C22" i="32"/>
  <c r="C23" i="32"/>
  <c r="C24" i="32"/>
  <c r="F16" i="32"/>
  <c r="F17" i="32"/>
  <c r="F18" i="32"/>
  <c r="F19" i="32"/>
  <c r="F20" i="32"/>
  <c r="F21" i="32"/>
  <c r="F22" i="32"/>
  <c r="F23" i="32"/>
  <c r="F24" i="32"/>
  <c r="C36" i="32"/>
  <c r="C37" i="32"/>
  <c r="C28" i="32"/>
  <c r="F28" i="32"/>
  <c r="C38" i="32"/>
  <c r="C39" i="32"/>
  <c r="H14" i="32"/>
  <c r="B23" i="32"/>
  <c r="B24" i="32"/>
  <c r="E23" i="32"/>
  <c r="E24" i="32"/>
  <c r="B36" i="32"/>
  <c r="B37" i="32"/>
  <c r="B38" i="32"/>
  <c r="B39" i="32"/>
  <c r="J26" i="32"/>
  <c r="I26" i="32"/>
  <c r="H26" i="32"/>
  <c r="G26" i="32"/>
  <c r="F26" i="32"/>
  <c r="E26" i="32"/>
  <c r="D26" i="32"/>
  <c r="C26" i="32"/>
  <c r="B26" i="32"/>
  <c r="G6" i="32"/>
  <c r="F5" i="32"/>
  <c r="F6" i="32"/>
  <c r="E6" i="32"/>
  <c r="D6" i="32"/>
  <c r="C5" i="32"/>
  <c r="C6" i="32"/>
  <c r="B6" i="32"/>
  <c r="H11" i="28"/>
  <c r="C23" i="6"/>
  <c r="B16" i="22"/>
  <c r="C16" i="22"/>
  <c r="C23" i="22"/>
  <c r="C24" i="22"/>
  <c r="C36" i="22"/>
  <c r="B23" i="22"/>
  <c r="B24" i="22"/>
  <c r="B36" i="22"/>
  <c r="D35" i="22"/>
  <c r="J10" i="22"/>
  <c r="J11" i="22"/>
  <c r="J12" i="22"/>
  <c r="J9" i="22"/>
  <c r="I9" i="22"/>
  <c r="I10" i="22"/>
  <c r="I11" i="22"/>
  <c r="I12" i="22"/>
  <c r="H10" i="22"/>
  <c r="H11" i="22"/>
  <c r="H12" i="22"/>
  <c r="H9" i="22"/>
  <c r="I8" i="22"/>
  <c r="J8" i="22"/>
  <c r="H8" i="22"/>
  <c r="J14" i="22"/>
  <c r="I14" i="22"/>
  <c r="H14" i="22"/>
  <c r="H12" i="31"/>
  <c r="H10" i="31"/>
  <c r="H4" i="22"/>
  <c r="I4" i="22"/>
  <c r="J4" i="22"/>
  <c r="A1" i="32"/>
  <c r="A1" i="22"/>
  <c r="C60" i="30"/>
  <c r="C59" i="30"/>
  <c r="C60" i="29"/>
  <c r="C59" i="29"/>
  <c r="G4" i="22"/>
  <c r="G16" i="22"/>
  <c r="G17" i="22"/>
  <c r="G18" i="22"/>
  <c r="G19" i="22"/>
  <c r="G20" i="22"/>
  <c r="G21" i="22"/>
  <c r="G22" i="22"/>
  <c r="G23" i="22"/>
  <c r="G24" i="22"/>
  <c r="G7" i="22"/>
  <c r="G14" i="22"/>
  <c r="G26" i="22"/>
  <c r="G30" i="22"/>
  <c r="G28" i="22"/>
  <c r="E4" i="22"/>
  <c r="E16" i="22"/>
  <c r="E17" i="22"/>
  <c r="E18" i="22"/>
  <c r="E19" i="22"/>
  <c r="E20" i="22"/>
  <c r="E21" i="22"/>
  <c r="E22" i="22"/>
  <c r="E23" i="22"/>
  <c r="E24" i="22"/>
  <c r="E30" i="22"/>
  <c r="E28" i="22"/>
  <c r="C59" i="6"/>
  <c r="C60" i="6"/>
  <c r="B30" i="22"/>
  <c r="C54" i="6"/>
  <c r="B28" i="22"/>
  <c r="D30" i="22"/>
  <c r="C60" i="11"/>
  <c r="C59" i="11"/>
  <c r="C52" i="6"/>
  <c r="C53" i="6"/>
  <c r="C55" i="6"/>
  <c r="C56" i="6"/>
  <c r="C57" i="6"/>
  <c r="B22" i="22"/>
  <c r="C46" i="6"/>
  <c r="C47" i="6"/>
  <c r="C48" i="6"/>
  <c r="C49" i="6"/>
  <c r="C50" i="6"/>
  <c r="B21" i="22"/>
  <c r="C43" i="6"/>
  <c r="B20" i="22"/>
  <c r="C36" i="6"/>
  <c r="C38" i="6"/>
  <c r="C40" i="6"/>
  <c r="B19" i="22"/>
  <c r="C29" i="6"/>
  <c r="C31" i="6"/>
  <c r="C33" i="6"/>
  <c r="B18" i="22"/>
  <c r="C25" i="6"/>
  <c r="C26" i="6"/>
  <c r="B17" i="22"/>
  <c r="C14" i="11"/>
  <c r="C15" i="11"/>
  <c r="C16" i="11"/>
  <c r="C17" i="11"/>
  <c r="C19" i="11"/>
  <c r="C21" i="11"/>
  <c r="C23" i="11"/>
  <c r="C14" i="6"/>
  <c r="C15" i="6"/>
  <c r="C16" i="6"/>
  <c r="C17" i="6"/>
  <c r="C19" i="6"/>
  <c r="C21" i="6"/>
  <c r="F18" i="22"/>
  <c r="C9" i="11"/>
  <c r="H10" i="6"/>
  <c r="C9" i="6"/>
  <c r="C10" i="6"/>
  <c r="E5" i="22"/>
  <c r="F5" i="22"/>
  <c r="B12" i="25"/>
  <c r="B11" i="25"/>
  <c r="D12" i="25"/>
  <c r="D11" i="25"/>
  <c r="B4" i="22"/>
  <c r="C12" i="25"/>
  <c r="C11" i="25"/>
  <c r="E12" i="25"/>
  <c r="G5" i="22"/>
  <c r="D4" i="22"/>
  <c r="C6" i="25"/>
  <c r="D22" i="22"/>
  <c r="D21" i="22"/>
  <c r="D18" i="22"/>
  <c r="D17" i="22"/>
  <c r="D16" i="22"/>
  <c r="D28" i="22"/>
  <c r="D20" i="22"/>
  <c r="D19" i="22"/>
  <c r="C18" i="22"/>
  <c r="B41" i="22"/>
  <c r="B40" i="22"/>
  <c r="B7" i="22"/>
  <c r="H11" i="6"/>
  <c r="C11" i="6"/>
  <c r="B13" i="22"/>
  <c r="B14" i="22"/>
  <c r="B37" i="22"/>
  <c r="B38" i="22"/>
  <c r="B39" i="22"/>
  <c r="F16" i="22"/>
  <c r="F17" i="22"/>
  <c r="F19" i="22"/>
  <c r="F20" i="22"/>
  <c r="F21" i="22"/>
  <c r="F22" i="22"/>
  <c r="F23" i="22"/>
  <c r="F4" i="22"/>
  <c r="F24" i="22"/>
  <c r="D23" i="22"/>
  <c r="D24" i="22"/>
  <c r="C17" i="22"/>
  <c r="C19" i="22"/>
  <c r="C20" i="22"/>
  <c r="C21" i="22"/>
  <c r="C22" i="22"/>
  <c r="C4" i="22"/>
  <c r="D7" i="22"/>
  <c r="D13" i="22"/>
  <c r="D14" i="22"/>
  <c r="C7" i="22"/>
  <c r="C13" i="22"/>
  <c r="C14" i="22"/>
  <c r="B5" i="22"/>
  <c r="B6" i="22"/>
  <c r="D5" i="22"/>
  <c r="C5" i="22"/>
  <c r="D36" i="22"/>
  <c r="D41" i="22"/>
  <c r="C4" i="34"/>
  <c r="D40" i="22"/>
  <c r="C7" i="34"/>
  <c r="D38" i="22"/>
  <c r="C10" i="34"/>
  <c r="C41" i="22"/>
  <c r="C40" i="22"/>
  <c r="C28" i="22"/>
  <c r="F28" i="22"/>
  <c r="C38" i="22"/>
  <c r="D8" i="34"/>
  <c r="D12" i="34"/>
  <c r="E8" i="34"/>
  <c r="E12" i="34"/>
  <c r="F8" i="34"/>
  <c r="F12" i="34"/>
  <c r="G8" i="34"/>
  <c r="G12" i="34"/>
  <c r="H8" i="34"/>
  <c r="H12" i="34"/>
  <c r="I8" i="34"/>
  <c r="I12" i="34"/>
  <c r="J8" i="34"/>
  <c r="J12" i="34"/>
  <c r="B18" i="34"/>
  <c r="B17" i="34"/>
  <c r="C18" i="6"/>
  <c r="C20" i="6"/>
  <c r="C22" i="6"/>
  <c r="C35" i="6"/>
  <c r="C42" i="6"/>
  <c r="C45" i="6"/>
  <c r="C8" i="6"/>
  <c r="C7" i="6"/>
  <c r="C49" i="11"/>
  <c r="C8" i="11"/>
  <c r="C7" i="11"/>
  <c r="C13" i="11"/>
  <c r="C24" i="11"/>
  <c r="C27" i="11"/>
  <c r="C30" i="11"/>
  <c r="C32" i="11"/>
  <c r="C34" i="11"/>
  <c r="C36" i="11"/>
  <c r="C39" i="11"/>
  <c r="C41" i="11"/>
  <c r="C43" i="11"/>
  <c r="C46" i="11"/>
  <c r="C48" i="11"/>
  <c r="C53" i="11"/>
  <c r="C55" i="11"/>
  <c r="C54" i="11"/>
  <c r="C52" i="11"/>
  <c r="C9" i="31"/>
  <c r="H11" i="31"/>
  <c r="H9" i="31"/>
  <c r="C11" i="31"/>
  <c r="C7" i="31"/>
  <c r="H7" i="31"/>
  <c r="H8" i="31"/>
  <c r="C9" i="29"/>
  <c r="C8" i="29"/>
  <c r="C7" i="29"/>
  <c r="H57" i="30"/>
  <c r="C57" i="30"/>
  <c r="C56" i="30"/>
  <c r="C55" i="30"/>
  <c r="C54" i="30"/>
  <c r="C53" i="30"/>
  <c r="C52" i="30"/>
  <c r="C50" i="30"/>
  <c r="C49" i="30"/>
  <c r="C47" i="30"/>
  <c r="C46" i="30"/>
  <c r="C45" i="30"/>
  <c r="C43" i="30"/>
  <c r="C42" i="30"/>
  <c r="C41" i="30"/>
  <c r="C39" i="30"/>
  <c r="C37" i="30"/>
  <c r="C35" i="30"/>
  <c r="C34" i="30"/>
  <c r="C33" i="30"/>
  <c r="C32" i="30"/>
  <c r="C31" i="30"/>
  <c r="C30" i="30"/>
  <c r="C29" i="30"/>
  <c r="C28" i="30"/>
  <c r="C27" i="30"/>
  <c r="C26" i="30"/>
  <c r="C25" i="30"/>
  <c r="C24" i="30"/>
  <c r="C23" i="30"/>
  <c r="C22" i="30"/>
  <c r="C21" i="30"/>
  <c r="C20" i="30"/>
  <c r="C19" i="30"/>
  <c r="C18" i="30"/>
  <c r="C17" i="30"/>
  <c r="C16" i="30"/>
  <c r="C15" i="30"/>
  <c r="C14" i="30"/>
  <c r="C13" i="30"/>
  <c r="C58" i="29"/>
  <c r="C57" i="29"/>
  <c r="C56" i="29"/>
  <c r="C55" i="29"/>
  <c r="C54" i="29"/>
  <c r="C53" i="29"/>
  <c r="C52" i="29"/>
  <c r="C50" i="29"/>
  <c r="C49" i="29"/>
  <c r="C48" i="29"/>
  <c r="C47" i="29"/>
  <c r="C46" i="29"/>
  <c r="C45" i="29"/>
  <c r="C43" i="29"/>
  <c r="C42" i="29"/>
  <c r="C41" i="29"/>
  <c r="C34" i="29"/>
  <c r="C33" i="29"/>
  <c r="C32" i="29"/>
  <c r="C31" i="29"/>
  <c r="C30" i="29"/>
  <c r="C29" i="29"/>
  <c r="C28" i="29"/>
  <c r="C27" i="29"/>
  <c r="C26" i="29"/>
  <c r="C25" i="29"/>
  <c r="C24" i="29"/>
  <c r="C23" i="29"/>
  <c r="C22" i="29"/>
  <c r="C17" i="29"/>
  <c r="C16" i="29"/>
  <c r="C15" i="29"/>
  <c r="C14" i="29"/>
  <c r="C13" i="29"/>
  <c r="C41" i="6"/>
  <c r="C39" i="6"/>
  <c r="C37" i="6"/>
  <c r="C34" i="6"/>
  <c r="C32" i="6"/>
  <c r="C30" i="6"/>
  <c r="C28" i="6"/>
  <c r="C27" i="6"/>
  <c r="C24" i="6"/>
  <c r="C13" i="6"/>
  <c r="B15" i="25"/>
  <c r="D15" i="25"/>
  <c r="E15" i="25"/>
  <c r="C15" i="25"/>
  <c r="C9" i="30"/>
  <c r="C8" i="30"/>
  <c r="C7" i="30"/>
  <c r="C57" i="11"/>
  <c r="C56" i="11"/>
  <c r="C50" i="11"/>
  <c r="C47" i="11"/>
  <c r="C45" i="11"/>
  <c r="C42" i="11"/>
  <c r="C40" i="11"/>
  <c r="C38" i="11"/>
  <c r="C37" i="11"/>
  <c r="C35" i="11"/>
  <c r="C33" i="11"/>
  <c r="C31" i="11"/>
  <c r="C29" i="11"/>
  <c r="C28" i="11"/>
  <c r="C26" i="11"/>
  <c r="C25" i="11"/>
  <c r="C22" i="11"/>
  <c r="C20" i="11"/>
  <c r="C18" i="11"/>
  <c r="E11" i="25"/>
  <c r="E13" i="25"/>
  <c r="E21" i="25"/>
  <c r="E33" i="25"/>
  <c r="E42" i="25"/>
  <c r="E43" i="25"/>
  <c r="D13" i="25"/>
  <c r="D21" i="25"/>
  <c r="D33" i="25"/>
  <c r="D42" i="25"/>
  <c r="D43" i="25"/>
  <c r="C13" i="25"/>
  <c r="C21" i="25"/>
  <c r="C33" i="25"/>
  <c r="C42" i="25"/>
  <c r="C43" i="25"/>
  <c r="B13" i="25"/>
  <c r="B21" i="25"/>
  <c r="B33" i="25"/>
  <c r="B42" i="25"/>
  <c r="B43" i="25"/>
  <c r="I10" i="30"/>
  <c r="J10" i="30"/>
  <c r="J9" i="6"/>
  <c r="J10" i="6"/>
  <c r="J10" i="29"/>
  <c r="I10" i="29"/>
  <c r="D6" i="25"/>
  <c r="D37" i="22"/>
  <c r="D39" i="22"/>
  <c r="C37" i="22"/>
  <c r="C39" i="22"/>
  <c r="K10" i="24"/>
  <c r="J10" i="24"/>
  <c r="I10" i="24"/>
  <c r="H10" i="24"/>
  <c r="G10" i="24"/>
  <c r="F10" i="24"/>
  <c r="E10" i="24"/>
  <c r="K9" i="24"/>
  <c r="J9" i="24"/>
  <c r="I9" i="24"/>
  <c r="H9" i="24"/>
  <c r="G9" i="24"/>
  <c r="F9" i="24"/>
  <c r="D8" i="24"/>
  <c r="J7" i="24"/>
  <c r="I7" i="24"/>
  <c r="H7" i="24"/>
  <c r="G7" i="24"/>
  <c r="F7" i="24"/>
  <c r="E7" i="24"/>
  <c r="K4" i="24"/>
  <c r="J4" i="24"/>
  <c r="I4" i="24"/>
  <c r="H4" i="24"/>
  <c r="G4" i="24"/>
  <c r="F4" i="24"/>
  <c r="E4" i="24"/>
  <c r="K3" i="24"/>
  <c r="J3" i="24"/>
  <c r="I3" i="24"/>
  <c r="H3" i="24"/>
  <c r="G3" i="24"/>
  <c r="F3" i="24"/>
  <c r="E3" i="24"/>
  <c r="D3" i="24"/>
  <c r="F8" i="24"/>
  <c r="F12" i="24"/>
  <c r="F15" i="24"/>
  <c r="E8" i="24"/>
  <c r="G8" i="24"/>
  <c r="H8" i="24"/>
  <c r="I8" i="24"/>
  <c r="J8" i="24"/>
  <c r="K8" i="24"/>
  <c r="K12" i="24"/>
  <c r="K15" i="24"/>
  <c r="D12" i="24"/>
  <c r="D15" i="24"/>
  <c r="E12" i="24"/>
  <c r="E15" i="24"/>
  <c r="G12" i="24"/>
  <c r="G15" i="24"/>
  <c r="H12" i="24"/>
  <c r="H15" i="24"/>
  <c r="I12" i="24"/>
  <c r="I15" i="24"/>
  <c r="J12" i="24"/>
  <c r="J15" i="24"/>
  <c r="B18" i="24"/>
  <c r="B17" i="24"/>
  <c r="C26" i="22"/>
  <c r="J26" i="22"/>
  <c r="I26" i="22"/>
  <c r="H26" i="22"/>
  <c r="C6" i="22"/>
  <c r="D6" i="22"/>
  <c r="E6" i="22"/>
  <c r="F6" i="22"/>
  <c r="G6" i="22"/>
  <c r="B26" i="22"/>
  <c r="D26" i="22"/>
  <c r="E26" i="22"/>
  <c r="F26" i="22"/>
</calcChain>
</file>

<file path=xl/comments1.xml><?xml version="1.0" encoding="utf-8"?>
<comments xmlns="http://schemas.openxmlformats.org/spreadsheetml/2006/main">
  <authors>
    <author>Emma Q</author>
  </authors>
  <commentList>
    <comment ref="A9" authorId="0">
      <text>
        <r>
          <rPr>
            <sz val="9"/>
            <color indexed="81"/>
            <rFont val="Calibri"/>
            <family val="2"/>
          </rPr>
          <t>Chiffres situation actuelle tirés de : Céréales 2013_2014.xlsx et du tableau 1 de Chebil (2011)
divisés par 2 pour avoir l'équivalent annuel
Chiffres inspirés de assollement_COMPLET_SMSA de laaroussa(Siliana_semi-aride) pour semi-aride</t>
        </r>
      </text>
    </comment>
    <comment ref="A16" authorId="0">
      <text>
        <r>
          <rPr>
            <sz val="9"/>
            <color indexed="81"/>
            <rFont val="Calibri"/>
            <family val="2"/>
          </rPr>
          <t>pas de données disponibles</t>
        </r>
      </text>
    </comment>
    <comment ref="A22" authorId="0">
      <text>
        <r>
          <rPr>
            <sz val="9"/>
            <color indexed="81"/>
            <rFont val="Calibri"/>
            <family val="2"/>
          </rPr>
          <t>pas de données disponibles</t>
        </r>
      </text>
    </comment>
    <comment ref="A28" authorId="0">
      <text>
        <r>
          <rPr>
            <sz val="9"/>
            <color indexed="81"/>
            <rFont val="Calibri"/>
            <family val="2"/>
          </rPr>
          <t>pas de données disponibles</t>
        </r>
      </text>
    </comment>
    <comment ref="A34" authorId="0">
      <text>
        <r>
          <rPr>
            <sz val="9"/>
            <color indexed="81"/>
            <rFont val="Calibri"/>
            <family val="2"/>
          </rPr>
          <t>pas de données disponibles</t>
        </r>
      </text>
    </comment>
    <comment ref="A43" authorId="0">
      <text>
        <r>
          <rPr>
            <sz val="9"/>
            <color indexed="81"/>
            <rFont val="Calibri"/>
            <family val="2"/>
          </rPr>
          <t>possible d'avoir plus de 100% s'il y a des cultures en association
Pourcentages doivent être les mêmes entre situation actuelle et situation avec pus de légumineuses afin de pouvoir comparer sur les même bases (variations de 1% liées aux arrondis)</t>
        </r>
      </text>
    </comment>
  </commentList>
</comments>
</file>

<file path=xl/comments10.xml><?xml version="1.0" encoding="utf-8"?>
<comments xmlns="http://schemas.openxmlformats.org/spreadsheetml/2006/main">
  <authors>
    <author>Emma Q</author>
  </authors>
  <commentList>
    <comment ref="K7" authorId="0">
      <text>
        <r>
          <rPr>
            <b/>
            <sz val="9"/>
            <color indexed="81"/>
            <rFont val="Calibri"/>
            <family val="2"/>
          </rPr>
          <t>pas de valeur résiduelle</t>
        </r>
      </text>
    </comment>
  </commentList>
</comments>
</file>

<file path=xl/comments11.xml><?xml version="1.0" encoding="utf-8"?>
<comments xmlns="http://schemas.openxmlformats.org/spreadsheetml/2006/main">
  <authors>
    <author>Emma Q</author>
  </authors>
  <commentList>
    <comment ref="C4" authorId="0">
      <text>
        <r>
          <rPr>
            <sz val="9"/>
            <color indexed="81"/>
            <rFont val="Calibri"/>
            <family val="2"/>
          </rPr>
          <t>L'idée est d'avoir des données représentatives d'une "exploitation-type" (exploitation "moyenne")</t>
        </r>
      </text>
    </comment>
    <comment ref="H4" authorId="0">
      <text>
        <r>
          <rPr>
            <sz val="9"/>
            <color indexed="81"/>
            <rFont val="Calibri"/>
            <family val="2"/>
          </rPr>
          <t>L'idée est d'avoir des données représentatives d'une "exploitation-type" (exploitation "moyenne")</t>
        </r>
      </text>
    </comment>
  </commentList>
</comments>
</file>

<file path=xl/comments2.xml><?xml version="1.0" encoding="utf-8"?>
<comments xmlns="http://schemas.openxmlformats.org/spreadsheetml/2006/main">
  <authors>
    <author>Emma Q</author>
  </authors>
  <commentList>
    <comment ref="H4" authorId="0">
      <text>
        <r>
          <rPr>
            <sz val="9"/>
            <color indexed="81"/>
            <rFont val="Calibri"/>
            <family val="2"/>
          </rPr>
          <t>L'idée est d'avoir des données représentatives d'une "exploitation-type" (exploitation "moyenne")</t>
        </r>
      </text>
    </comment>
    <comment ref="B30" authorId="0">
      <text>
        <r>
          <rPr>
            <sz val="9"/>
            <color indexed="81"/>
            <rFont val="Calibri"/>
            <family val="2"/>
          </rPr>
          <t>unités dfférentes dans les autres fiches</t>
        </r>
      </text>
    </comment>
    <comment ref="B32" authorId="0">
      <text>
        <r>
          <rPr>
            <sz val="9"/>
            <color indexed="81"/>
            <rFont val="Calibri"/>
            <family val="2"/>
          </rPr>
          <t>unités dfférentes dans les autres fiches</t>
        </r>
      </text>
    </comment>
  </commentList>
</comments>
</file>

<file path=xl/comments3.xml><?xml version="1.0" encoding="utf-8"?>
<comments xmlns="http://schemas.openxmlformats.org/spreadsheetml/2006/main">
  <authors>
    <author>Emma Q</author>
  </authors>
  <commentList>
    <comment ref="H4" authorId="0">
      <text>
        <r>
          <rPr>
            <sz val="9"/>
            <color indexed="81"/>
            <rFont val="Calibri"/>
            <family val="2"/>
          </rPr>
          <t>L'idée est d'avoir des données représentatives d'une "exploitation-type" (exploitation "moyenne")</t>
        </r>
      </text>
    </comment>
    <comment ref="B30" authorId="0">
      <text>
        <r>
          <rPr>
            <sz val="9"/>
            <color indexed="81"/>
            <rFont val="Calibri"/>
            <family val="2"/>
          </rPr>
          <t>unités dfférentes dans les autres fiches</t>
        </r>
      </text>
    </comment>
    <comment ref="B32" authorId="0">
      <text>
        <r>
          <rPr>
            <sz val="9"/>
            <color indexed="81"/>
            <rFont val="Calibri"/>
            <family val="2"/>
          </rPr>
          <t>unités dfférentes dans les autres fiches</t>
        </r>
      </text>
    </comment>
  </commentList>
</comments>
</file>

<file path=xl/comments4.xml><?xml version="1.0" encoding="utf-8"?>
<comments xmlns="http://schemas.openxmlformats.org/spreadsheetml/2006/main">
  <authors>
    <author>Emma Q</author>
  </authors>
  <commentList>
    <comment ref="H4" authorId="0">
      <text>
        <r>
          <rPr>
            <sz val="9"/>
            <color indexed="81"/>
            <rFont val="Calibri"/>
            <family val="2"/>
          </rPr>
          <t>L'idée est d'avoir des données représentatives d'une "exploitation-type" (exploitation "moyenne")</t>
        </r>
      </text>
    </comment>
    <comment ref="B30" authorId="0">
      <text>
        <r>
          <rPr>
            <sz val="9"/>
            <color indexed="81"/>
            <rFont val="Calibri"/>
            <family val="2"/>
          </rPr>
          <t>unités dfférentes dans les autres fiches</t>
        </r>
      </text>
    </comment>
    <comment ref="B32" authorId="0">
      <text>
        <r>
          <rPr>
            <sz val="9"/>
            <color indexed="81"/>
            <rFont val="Calibri"/>
            <family val="2"/>
          </rPr>
          <t>unités dfférentes dans les autres fiches</t>
        </r>
      </text>
    </comment>
  </commentList>
</comments>
</file>

<file path=xl/comments5.xml><?xml version="1.0" encoding="utf-8"?>
<comments xmlns="http://schemas.openxmlformats.org/spreadsheetml/2006/main">
  <authors>
    <author>Emma Q</author>
  </authors>
  <commentList>
    <comment ref="H4" authorId="0">
      <text>
        <r>
          <rPr>
            <sz val="9"/>
            <color indexed="81"/>
            <rFont val="Calibri"/>
            <family val="2"/>
          </rPr>
          <t>L'idée est d'avoir des données représentatives d'une "exploitation-type" (exploitation "moyenne")</t>
        </r>
      </text>
    </comment>
    <comment ref="B30" authorId="0">
      <text>
        <r>
          <rPr>
            <sz val="9"/>
            <color indexed="81"/>
            <rFont val="Calibri"/>
            <family val="2"/>
          </rPr>
          <t>unités dfférentes dans les autres fiches</t>
        </r>
      </text>
    </comment>
    <comment ref="B32" authorId="0">
      <text>
        <r>
          <rPr>
            <sz val="9"/>
            <color indexed="81"/>
            <rFont val="Calibri"/>
            <family val="2"/>
          </rPr>
          <t>unités dfférentes dans les autres fiches</t>
        </r>
      </text>
    </comment>
  </commentList>
</comments>
</file>

<file path=xl/comments6.xml><?xml version="1.0" encoding="utf-8"?>
<comments xmlns="http://schemas.openxmlformats.org/spreadsheetml/2006/main">
  <authors>
    <author>Emma Q</author>
  </authors>
  <commentList>
    <comment ref="C4" authorId="0">
      <text>
        <r>
          <rPr>
            <sz val="9"/>
            <color indexed="81"/>
            <rFont val="Calibri"/>
            <family val="2"/>
          </rPr>
          <t>L'idée est d'avoir des données représentatives d'une "exploitation-type" (exploitation "moyenne")</t>
        </r>
      </text>
    </comment>
    <comment ref="H4" authorId="0">
      <text>
        <r>
          <rPr>
            <sz val="9"/>
            <color indexed="81"/>
            <rFont val="Calibri"/>
            <family val="2"/>
          </rPr>
          <t>L'idée est d'avoir des données représentatives d'une "exploitation-type" (exploitation "moyenne")</t>
        </r>
      </text>
    </comment>
  </commentList>
</comments>
</file>

<file path=xl/comments7.xml><?xml version="1.0" encoding="utf-8"?>
<comments xmlns="http://schemas.openxmlformats.org/spreadsheetml/2006/main">
  <authors>
    <author>Emma Q</author>
  </authors>
  <commentList>
    <comment ref="I4" authorId="0">
      <text>
        <r>
          <rPr>
            <b/>
            <sz val="9"/>
            <color indexed="81"/>
            <rFont val="Calibri"/>
            <family val="2"/>
          </rPr>
          <t>augmentation des surfaces de aprcours sans aménagement (hypothèse)</t>
        </r>
      </text>
    </comment>
    <comment ref="H16" authorId="0">
      <text>
        <r>
          <rPr>
            <b/>
            <sz val="9"/>
            <color indexed="81"/>
            <rFont val="Calibri"/>
            <family val="2"/>
          </rPr>
          <t>pas de données sur les coûts disponibles, identiques entre les 3 scénarios par hypothèse et n'influencant donc pas les résultats de l'analyse coût-bénéfice</t>
        </r>
      </text>
    </comment>
    <comment ref="B21" authorId="0">
      <text>
        <r>
          <rPr>
            <b/>
            <sz val="9"/>
            <color indexed="81"/>
            <rFont val="Calibri"/>
            <family val="2"/>
          </rPr>
          <t>journée de travail de 8h/jour en moyenne par hypothèse</t>
        </r>
      </text>
    </comment>
    <comment ref="C30" authorId="0">
      <text>
        <r>
          <rPr>
            <b/>
            <sz val="9"/>
            <color indexed="81"/>
            <rFont val="Calibri"/>
            <family val="2"/>
          </rPr>
          <t>par hypothèse, pas de maintien dans le temps des subventions</t>
        </r>
      </text>
    </comment>
  </commentList>
</comments>
</file>

<file path=xl/comments8.xml><?xml version="1.0" encoding="utf-8"?>
<comments xmlns="http://schemas.openxmlformats.org/spreadsheetml/2006/main">
  <authors>
    <author>Emma Q</author>
  </authors>
  <commentList>
    <comment ref="K7" authorId="0">
      <text>
        <r>
          <rPr>
            <b/>
            <sz val="9"/>
            <color indexed="81"/>
            <rFont val="Calibri"/>
            <family val="2"/>
          </rPr>
          <t>pas de valeur résiduelle</t>
        </r>
      </text>
    </comment>
  </commentList>
</comments>
</file>

<file path=xl/comments9.xml><?xml version="1.0" encoding="utf-8"?>
<comments xmlns="http://schemas.openxmlformats.org/spreadsheetml/2006/main">
  <authors>
    <author>Emma Q</author>
  </authors>
  <commentList>
    <comment ref="I4" authorId="0">
      <text>
        <r>
          <rPr>
            <b/>
            <sz val="9"/>
            <color indexed="81"/>
            <rFont val="Calibri"/>
            <family val="2"/>
          </rPr>
          <t>augmentation des surfaces de aprcours sans aménagement (hypothèse)</t>
        </r>
      </text>
    </comment>
    <comment ref="H16" authorId="0">
      <text>
        <r>
          <rPr>
            <b/>
            <sz val="9"/>
            <color indexed="81"/>
            <rFont val="Calibri"/>
            <family val="2"/>
          </rPr>
          <t>pas de données sur les coûts disponibles, identiques entre les 3 scénarios par hypothèse et n'influencant donc pas les résultats de l'analyse coût-bénéfice</t>
        </r>
      </text>
    </comment>
    <comment ref="B21" authorId="0">
      <text>
        <r>
          <rPr>
            <b/>
            <sz val="9"/>
            <color indexed="81"/>
            <rFont val="Calibri"/>
            <family val="2"/>
          </rPr>
          <t>journée de travail de 8h/jour en moyenne par hypothèse</t>
        </r>
      </text>
    </comment>
    <comment ref="C30" authorId="0">
      <text>
        <r>
          <rPr>
            <b/>
            <sz val="9"/>
            <color indexed="81"/>
            <rFont val="Calibri"/>
            <family val="2"/>
          </rPr>
          <t>par hypothèse, pas de maintien dans le temps des subventions</t>
        </r>
      </text>
    </comment>
  </commentList>
</comments>
</file>

<file path=xl/sharedStrings.xml><?xml version="1.0" encoding="utf-8"?>
<sst xmlns="http://schemas.openxmlformats.org/spreadsheetml/2006/main" count="920" uniqueCount="296">
  <si>
    <t>Nom paramètre pour identification</t>
  </si>
  <si>
    <t>Unité de mesure</t>
  </si>
  <si>
    <t>Valeur "type"</t>
  </si>
  <si>
    <t>Valeur min</t>
  </si>
  <si>
    <t>Valeur max</t>
  </si>
  <si>
    <t>Commentaires qualitatifs pour informer l'analyse</t>
  </si>
  <si>
    <t>Données de type "fiche technico-économique" d'exploitation; pour une exploitation "type" par type de zone agricole (irriguée/pluvial)</t>
  </si>
  <si>
    <t>Revenus non agricoles</t>
  </si>
  <si>
    <t>Mécanisation</t>
  </si>
  <si>
    <t>Récolte (Heure/Ha)</t>
  </si>
  <si>
    <t xml:space="preserve">Fertilisation </t>
  </si>
  <si>
    <t>Coût de fertilisation</t>
  </si>
  <si>
    <t>Traitement Phytosanitaire</t>
  </si>
  <si>
    <t>Coût Traitement</t>
  </si>
  <si>
    <t>Coût semences</t>
  </si>
  <si>
    <t>Fertilisation</t>
  </si>
  <si>
    <t>Fumier/Compost</t>
  </si>
  <si>
    <t>Coût de fumier</t>
  </si>
  <si>
    <t xml:space="preserve">Fertilisant N </t>
  </si>
  <si>
    <t>Coût Fertilisant N</t>
  </si>
  <si>
    <t>Traitements Phytosanitaires</t>
  </si>
  <si>
    <t xml:space="preserve">Fongicide </t>
  </si>
  <si>
    <t>Coût fongicide</t>
  </si>
  <si>
    <t xml:space="preserve">Herbicide </t>
  </si>
  <si>
    <t>Coût Herbicide</t>
  </si>
  <si>
    <t>Insecticide</t>
  </si>
  <si>
    <t>Coût insecticide</t>
  </si>
  <si>
    <t xml:space="preserve">Irrigation </t>
  </si>
  <si>
    <t xml:space="preserve">Eau irrigation </t>
  </si>
  <si>
    <t>Coût irrigation (achat d'eau)</t>
  </si>
  <si>
    <t>Main d'œuvre (M.O)</t>
  </si>
  <si>
    <t xml:space="preserve">Certification </t>
  </si>
  <si>
    <t xml:space="preserve">Consultation/conseil </t>
  </si>
  <si>
    <t>Coûts fixes</t>
  </si>
  <si>
    <t>Dinar</t>
  </si>
  <si>
    <t>Assurances</t>
  </si>
  <si>
    <t>Charges Sociales</t>
  </si>
  <si>
    <t>Subventions</t>
  </si>
  <si>
    <t>Prime d'investissement</t>
  </si>
  <si>
    <t>Subvention sur achat de semence</t>
  </si>
  <si>
    <t>Type de culture</t>
  </si>
  <si>
    <t>Blé dur</t>
  </si>
  <si>
    <t>Blé tendre</t>
  </si>
  <si>
    <t>-</t>
  </si>
  <si>
    <t>Orge</t>
  </si>
  <si>
    <t>Tendances d'évolution (ex : augmentation des rendements de xx% sur les xx dernières années)</t>
  </si>
  <si>
    <t>Légende :</t>
  </si>
  <si>
    <t>présent</t>
  </si>
  <si>
    <t>Coûts mécanisation / ha</t>
  </si>
  <si>
    <t>Coûts fertilisation  / ha</t>
  </si>
  <si>
    <t>Coûts traitements phytosanitaires / ha</t>
  </si>
  <si>
    <t>Coûts irrigation / ha</t>
  </si>
  <si>
    <t>Coûts main d'oeuvre / ha</t>
  </si>
  <si>
    <t>Autres coûts / ha</t>
  </si>
  <si>
    <t>Coûts d'exploitation /ha</t>
  </si>
  <si>
    <t>Coûts d'exploitation totaux</t>
  </si>
  <si>
    <t>Marge brute</t>
  </si>
  <si>
    <t>Revenus bruts par exploitation</t>
  </si>
  <si>
    <t>Marge brute par exploitation</t>
  </si>
  <si>
    <t>Marge nette d'exploitation</t>
  </si>
  <si>
    <t>Année</t>
  </si>
  <si>
    <t>Flux entrants</t>
  </si>
  <si>
    <t>Revenus bruts</t>
  </si>
  <si>
    <t>Flux sortants</t>
  </si>
  <si>
    <t>Coûts du capital travaillant</t>
  </si>
  <si>
    <t>Coûts d'exploitation (variables)</t>
  </si>
  <si>
    <t>Investissement</t>
  </si>
  <si>
    <t>Valeur présente nette (taux intérêts banque)</t>
  </si>
  <si>
    <t>sans financement</t>
  </si>
  <si>
    <t>Règle de décision :</t>
  </si>
  <si>
    <t>TRI</t>
  </si>
  <si>
    <t>si VPN&gt;0 et/ou IRR&gt;taux d'intérêt banques commerciales, le projet est financièrement viable</t>
  </si>
  <si>
    <t>à long terme</t>
  </si>
  <si>
    <t>Superficies totales et répartition des cultures pour une exploitation ou ferme "type"</t>
  </si>
  <si>
    <t>Situation</t>
  </si>
  <si>
    <t>Surface d'une ferme (ha)</t>
  </si>
  <si>
    <t>"moyenne"</t>
  </si>
  <si>
    <t>min</t>
  </si>
  <si>
    <t>max</t>
  </si>
  <si>
    <t>Céréales</t>
  </si>
  <si>
    <t>Légumineuses alimentaires</t>
  </si>
  <si>
    <t>Fève</t>
  </si>
  <si>
    <t>Lentille</t>
  </si>
  <si>
    <t>Petits pois</t>
  </si>
  <si>
    <t>Pois chiche</t>
  </si>
  <si>
    <t>Légumineuses fourragères</t>
  </si>
  <si>
    <t>Fenugrec</t>
  </si>
  <si>
    <t>Bersim</t>
  </si>
  <si>
    <t>Sulla</t>
  </si>
  <si>
    <t>Vesce</t>
  </si>
  <si>
    <t>Autres cultures</t>
  </si>
  <si>
    <t>…</t>
  </si>
  <si>
    <r>
      <t>Tendances d'évolution</t>
    </r>
    <r>
      <rPr>
        <sz val="12"/>
        <color theme="1"/>
        <rFont val="Calibri"/>
      </rPr>
      <t xml:space="preserve"> (ex : augmentation des rendements de xx% sur les xx dernières années)</t>
    </r>
  </si>
  <si>
    <t>données à rentrer ou hypothèse à faire sur la valeur</t>
  </si>
  <si>
    <t xml:space="preserve">Taux d'intérêt </t>
  </si>
  <si>
    <t>Banques</t>
  </si>
  <si>
    <t>prêts pour des projets de développement</t>
  </si>
  <si>
    <t>Tritical</t>
  </si>
  <si>
    <t>Total céréales</t>
  </si>
  <si>
    <t>Féverole</t>
  </si>
  <si>
    <t>Total légumineuses alimentaires et fourragères</t>
  </si>
  <si>
    <t>Tournesol</t>
  </si>
  <si>
    <t>Soja</t>
  </si>
  <si>
    <t>Colza</t>
  </si>
  <si>
    <t>Betterave sucrière</t>
  </si>
  <si>
    <t>Betterave fourragère</t>
  </si>
  <si>
    <t>Betterave graine (pour semencier européens)</t>
  </si>
  <si>
    <t>Total autres cultures</t>
  </si>
  <si>
    <t>Désherbage mécanique</t>
  </si>
  <si>
    <t>Coût désherbage</t>
  </si>
  <si>
    <t>Investissement (Dinars / an)</t>
  </si>
  <si>
    <t>Subventions (sur investissement, semences etc)</t>
  </si>
  <si>
    <t>Investissement (eq. annuel)</t>
  </si>
  <si>
    <t>Coûts variables d'exploitation</t>
  </si>
  <si>
    <t>Arboriculture</t>
  </si>
  <si>
    <t>Olivier</t>
  </si>
  <si>
    <t>Abricot</t>
  </si>
  <si>
    <t>Répartition des surfaces par culture (%)</t>
  </si>
  <si>
    <t>Parcours</t>
  </si>
  <si>
    <t>Densité animaux</t>
  </si>
  <si>
    <t>Surface de parcours</t>
  </si>
  <si>
    <t>avec aménagement</t>
  </si>
  <si>
    <t>sans aménagement</t>
  </si>
  <si>
    <t>Total arboriculture</t>
  </si>
  <si>
    <t>Type aménagement CES</t>
  </si>
  <si>
    <t>Défrichement Jujubier</t>
  </si>
  <si>
    <t xml:space="preserve"> terrassement, talutage, épis, fixation biologique</t>
  </si>
  <si>
    <t>Défrichement Jujubier+ banquettes mécaniques+ fixation biologique</t>
  </si>
  <si>
    <t>terrassement, talutage, épis, fixation biologique</t>
  </si>
  <si>
    <t>Superficie  totale</t>
  </si>
  <si>
    <t>Nombre d'emplois temps plein</t>
  </si>
  <si>
    <t>Superficie</t>
  </si>
  <si>
    <t>rendements</t>
  </si>
  <si>
    <t>prix de la récolte</t>
  </si>
  <si>
    <t>Intrants (préciser l'unité de surface, ex: par ha)</t>
  </si>
  <si>
    <t xml:space="preserve">Labour </t>
  </si>
  <si>
    <t>Coût labour</t>
  </si>
  <si>
    <t>Plantation</t>
  </si>
  <si>
    <t>Plants</t>
  </si>
  <si>
    <t xml:space="preserve">Fertilisant K/P </t>
  </si>
  <si>
    <t>Coût Fertilisant K/P</t>
  </si>
  <si>
    <t>Consommation de l'électricité</t>
  </si>
  <si>
    <t>60.000 Dt/ha</t>
  </si>
  <si>
    <t>Tendance à la hausse</t>
  </si>
  <si>
    <t>3 Dt/hr</t>
  </si>
  <si>
    <t>Jeunes Plantations</t>
  </si>
  <si>
    <t>Prix constant</t>
  </si>
  <si>
    <t>main d'œuvre peu abondante</t>
  </si>
  <si>
    <t xml:space="preserve">Tarif journalier en hausse </t>
  </si>
  <si>
    <t>consommation à la hausse
quantité en baisse au niveau du barrage: source d'alimentation du périmètre</t>
  </si>
  <si>
    <t>Abricotier</t>
  </si>
  <si>
    <t>Source: Fiche Technico économique ELD -Cas de Kairouan.xls</t>
  </si>
  <si>
    <t>25- 30 T/Ha</t>
  </si>
  <si>
    <t>tendance à la baisse</t>
  </si>
  <si>
    <t>1,7 - 2,5 Dt/ Kg</t>
  </si>
  <si>
    <t>tendance à la hausse</t>
  </si>
  <si>
    <t>5 - 10 Dt /jr</t>
  </si>
  <si>
    <t>main d'œuvre familliale</t>
  </si>
  <si>
    <t>constant</t>
  </si>
  <si>
    <t>BARRAGE</t>
  </si>
  <si>
    <t>Aménagements CES en amont du barrage :</t>
  </si>
  <si>
    <t>Aménagement CES principal</t>
  </si>
  <si>
    <t>CES 1 :
Défrichement Jujubier</t>
  </si>
  <si>
    <t>CES 2 :
 terrassement, talutage, épis, fixation biologique</t>
  </si>
  <si>
    <t>Source:  Fiche Technico économique ELD -Cas de Kairouan.xlsx pour "avec aménagements"</t>
  </si>
  <si>
    <t>Superficie constante</t>
  </si>
  <si>
    <t>Main d'œuvre non rémunérée</t>
  </si>
  <si>
    <t>Main d'œuvre familliale</t>
  </si>
  <si>
    <t>La quantité demandée pas toujours disponible</t>
  </si>
  <si>
    <t>ha</t>
  </si>
  <si>
    <t>Nombre</t>
  </si>
  <si>
    <t>Dinars/heure</t>
  </si>
  <si>
    <t>tonnes/ha</t>
  </si>
  <si>
    <t>heures/ha</t>
  </si>
  <si>
    <t>jours/ha</t>
  </si>
  <si>
    <t>L/ha</t>
  </si>
  <si>
    <t>Dinars/ha</t>
  </si>
  <si>
    <t>Dinars/jours</t>
  </si>
  <si>
    <t>Litres/ha</t>
  </si>
  <si>
    <t>Plants/ha</t>
  </si>
  <si>
    <t>m3/ha</t>
  </si>
  <si>
    <t>Autres Coûts</t>
  </si>
  <si>
    <t>Dinars/plant</t>
  </si>
  <si>
    <r>
      <rPr>
        <b/>
        <sz val="12"/>
        <rFont val="Calibri"/>
      </rPr>
      <t>kg</t>
    </r>
    <r>
      <rPr>
        <sz val="12"/>
        <rFont val="Calibri"/>
      </rPr>
      <t>/ha</t>
    </r>
  </si>
  <si>
    <r>
      <rPr>
        <b/>
        <sz val="12"/>
        <rFont val="Calibri"/>
      </rPr>
      <t>L</t>
    </r>
    <r>
      <rPr>
        <sz val="12"/>
        <rFont val="Calibri"/>
      </rPr>
      <t>/ha</t>
    </r>
  </si>
  <si>
    <r>
      <rPr>
        <b/>
        <sz val="12"/>
        <rFont val="Calibri"/>
      </rPr>
      <t>tonnes</t>
    </r>
    <r>
      <rPr>
        <sz val="12"/>
        <rFont val="Calibri"/>
      </rPr>
      <t>/ha</t>
    </r>
  </si>
  <si>
    <r>
      <t>kg</t>
    </r>
    <r>
      <rPr>
        <sz val="12"/>
        <rFont val="Calibri"/>
        <scheme val="minor"/>
      </rPr>
      <t>/ha</t>
    </r>
  </si>
  <si>
    <r>
      <t>tonnes</t>
    </r>
    <r>
      <rPr>
        <sz val="12"/>
        <rFont val="Calibri"/>
        <scheme val="minor"/>
      </rPr>
      <t>/ha</t>
    </r>
  </si>
  <si>
    <t>manque de main d'œuvre spécialisée</t>
  </si>
  <si>
    <t>l'installation des chantiers pour les travaux publics</t>
  </si>
  <si>
    <t xml:space="preserve">60.000 Dt/ha
45.000-60.000 Dt/ha
localisation dans un périmètre public </t>
  </si>
  <si>
    <t>Dinars/an</t>
  </si>
  <si>
    <t>Coût emplois temps plein</t>
  </si>
  <si>
    <t>veillissement des vergers</t>
  </si>
  <si>
    <t>1,7 - 2,5 Dt/ Kg
diminution de l'exportation vers la Lybie</t>
  </si>
  <si>
    <t>60.000 Dt/ha
45.000-60.000 Dt/ha
localisation dans un périmètre public</t>
  </si>
  <si>
    <t>Occasionnelle salariée</t>
  </si>
  <si>
    <t>Coût main d'oeuvre occasionnelle (M.O.O.) salariée</t>
  </si>
  <si>
    <t>Permanente salariée</t>
  </si>
  <si>
    <t>Coût main d'oeuvre permanente (M.O.P.) salariée</t>
  </si>
  <si>
    <t>réduction du taille du cheptel</t>
  </si>
  <si>
    <t>SITUATION AVEC AMENAGEMENT CES</t>
  </si>
  <si>
    <t>SITUATION SANS AMENAGEMENT CES</t>
  </si>
  <si>
    <t>en baisse</t>
  </si>
  <si>
    <t xml:space="preserve">Coût récolte </t>
  </si>
  <si>
    <t>Consommation en hausse pour une offre en baisse</t>
  </si>
  <si>
    <t>Tarif journalier en hausse</t>
  </si>
  <si>
    <t>manque de la main d'œuvre spécialisée</t>
  </si>
  <si>
    <t>main d'œuvre non rémunérée</t>
  </si>
  <si>
    <t>procédure administtrative</t>
  </si>
  <si>
    <t>20000 DT/tonne * 3 tonnes/ha (manque un zéro dans les chiffres originel pour être cohérent avec 60.000 DT/ha fourni par ailleurs)</t>
  </si>
  <si>
    <t>augmentation du prix du carburant</t>
  </si>
  <si>
    <t>hausse des prix</t>
  </si>
  <si>
    <t>40.000 Dt/ha
L'exploitation est située sur les rives d'un grand cours d'eau (Oued)</t>
  </si>
  <si>
    <t>Parcours (lait et viande)</t>
  </si>
  <si>
    <t>L/animal</t>
  </si>
  <si>
    <t>kg/animal</t>
  </si>
  <si>
    <t>ARBORICULTURE</t>
  </si>
  <si>
    <t>ELEVAGE</t>
  </si>
  <si>
    <t>Productions animales</t>
  </si>
  <si>
    <t>superficie (ha)</t>
  </si>
  <si>
    <t>revenus non agricoles (Dinars)</t>
  </si>
  <si>
    <t>Revenus (Dinars)</t>
  </si>
  <si>
    <t>Coûts plantation  / ha</t>
  </si>
  <si>
    <t>Bénéfice net avec amenagement CES</t>
  </si>
  <si>
    <t>Bénéfice net sans amenagement CES</t>
  </si>
  <si>
    <t>avec amenagement CES</t>
  </si>
  <si>
    <t>sans amenagement CES</t>
  </si>
  <si>
    <t>Total toutes cultures</t>
  </si>
  <si>
    <t>Source :  Centre National des Etudes Agricoles_2006 05 - Etude d'impact des travaux CES dans le gouvernorat de Kairouan_Phase II_EE_kairouan.pdf page 154</t>
  </si>
  <si>
    <t>Source : Centre National des Etudes Agricoles_2006 05 - Etude d'impact des travaux CES dans le gouvernorat de Kairouan_Phase II_EE_kairouan.pdf page 154</t>
  </si>
  <si>
    <t>Source: Centre National des Etudes Agricoles_2006 05 - Etude d'impact des travaux CES dans le gouvernorat de Kairouan_Phase II_EE_kairouan.pdf (proportions de changement gardées constantes)</t>
  </si>
  <si>
    <t>gardé constant faute de données plus précises</t>
  </si>
  <si>
    <t>Source: Centre National des Etudes Agricoles_2006 05 - Etude d'impact des travaux CES dans le gouvernorat de Kairouan_Phase II_EE_kairouan.pdf (proportions de changement gardées constantes ; abricot assimilé à l'arboriculture fruitière hors oliviers à huile)</t>
  </si>
  <si>
    <t xml:space="preserve">augmentation rendement amandier pris comme référence pour calcul
Source: Centre National des Etudes Agricoles_2006 05 - Etude d'impact des travaux CES dans le gouvernorat de Kairouan_Phase II_EE_kairouan.pdf </t>
  </si>
  <si>
    <t>augmenté de 20% par rapport à celui avec aménagement par hypothèse (pas de données disponibles mais baisse suite à l'aménagement)</t>
  </si>
  <si>
    <t>Tous types d'aménagement</t>
  </si>
  <si>
    <t>augmente si pas d'aménagement (proportion : 1.3 à 2.4/11.4 ha)
Source : Centre National des Etudes Agricoles_2006 05 - Etude d'impact des travaux CES dans le gouvernorat de Kairouan_Phase II_EE_kairouan.pdf page 154</t>
  </si>
  <si>
    <t>reste identique avec aménagement au lieu d'augmenter
Source : Centre National des Etudes Agricoles_2006 05 - Etude d'impact des travaux CES dans le gouvernorat de Kairouan_Phase II_EE_kairouan.pdf page 154</t>
  </si>
  <si>
    <t>gardé identique</t>
  </si>
  <si>
    <t>Nombre animaux /ha de parcours</t>
  </si>
  <si>
    <t>Source: http://www.tunisieindustrie.nat.tn/fr/doc.asp?docid=594&amp;mcat=13&amp;mrub=105   03/01/2016</t>
  </si>
  <si>
    <t>rendements augmentent grâce à un meilleur accès à l'eau. Hypothèse : augmentation de 10% des rendements</t>
  </si>
  <si>
    <t>Rendement en lait (bovins)</t>
  </si>
  <si>
    <t>%</t>
  </si>
  <si>
    <t>Volume d'eau disponible</t>
  </si>
  <si>
    <t>Prix de l'eau</t>
  </si>
  <si>
    <t>Source : Centre National des Etudes Agricoles_2006 05 - Etude d'impact des travaux CES dans le gouvernorat de Kairouan_Phase II_EE_kairouan.pdf page 35</t>
  </si>
  <si>
    <t>rendements (tonnes/ha)</t>
  </si>
  <si>
    <t>production (tonnes)</t>
  </si>
  <si>
    <t>prix de la récolte (Dinars/ha)</t>
  </si>
  <si>
    <t>cohérent avec Fiche Technico économique ELD -Cas de Kairouan.xlsx pour "avec aménagements" (80% olivier / 20% abricot pour arboriculture seulement)
ratios CES 1 avec aménagements adaptés selon pourcentages des surfaces dans  Fiche Technico économique ELD -Cas de Kairouan.xlsx pour "avec aménagements"</t>
  </si>
  <si>
    <t>enlevé pour éviter de le compter 2 fois (déjà inclus pour l'abricot)</t>
  </si>
  <si>
    <t>Charge cheptel (animaux/ha)</t>
  </si>
  <si>
    <t>Prix lait</t>
  </si>
  <si>
    <t>Dinars/L</t>
  </si>
  <si>
    <t>Rendement en viande rouge (bovins, ovins et caprins)</t>
  </si>
  <si>
    <t>Prix viande rouge</t>
  </si>
  <si>
    <t>Dinars/kg</t>
  </si>
  <si>
    <t>Inspiré de : http://www.tunisienumerique.com/tunisie-augmentation-des-prix-du-lait/241675
03/01/2015</t>
  </si>
  <si>
    <t>Inspiré de : http://www.tunisienumerique.com/tunisie-le-ministere-du-commerce-fixe-les-prix-des-viandes-rouges/182118
03/01/2016</t>
  </si>
  <si>
    <t>Rendement en lait (L/animal)</t>
  </si>
  <si>
    <t>Rendement en viande rouge (kg/animal)</t>
  </si>
  <si>
    <t>Prix lait (Dinars/L)</t>
  </si>
  <si>
    <t>Prix viande rouge (Dinars/kg)</t>
  </si>
  <si>
    <t>par hypthèse, au vu des commentaires dans la littérature de la disparition de ces revenus au profit de revenus agricoles (cas de figure le plus défavorable aux aménagements de ce point de vue)</t>
  </si>
  <si>
    <t>stockée</t>
  </si>
  <si>
    <t>Coûts aménagements CES en amont du barrage (investissement)</t>
  </si>
  <si>
    <t xml:space="preserve"> additionnelle stockable pour atteindre la capacité de rétention maximale</t>
  </si>
  <si>
    <t>par hypothèse, plus faible que sans aménagement CES en amont du barrage</t>
  </si>
  <si>
    <t>Capacité de rétention maximale du barrage (capacité de stockage de départ)</t>
  </si>
  <si>
    <t>Taux d'envasement actuel du barrage</t>
  </si>
  <si>
    <t>Taux d'envasement annuel du barrage</t>
  </si>
  <si>
    <t>Quantité d'eau</t>
  </si>
  <si>
    <t>Valeur totale de l'eau du barrage</t>
  </si>
  <si>
    <t>Capacité de stockage effective</t>
  </si>
  <si>
    <t xml:space="preserve"> stockée</t>
  </si>
  <si>
    <t>Valeur de l'eau du barrage</t>
  </si>
  <si>
    <t>additionnelle stockable</t>
  </si>
  <si>
    <t>Coûts d'entretien des aménagements CES</t>
  </si>
  <si>
    <t>Coûts d'entretien du barrage</t>
  </si>
  <si>
    <t>Bénéfice net additionnel lié à l'aménagement CES</t>
  </si>
  <si>
    <t>Dinars</t>
  </si>
  <si>
    <t>par hypothèse, inchangé car un plus grand voume stocké n'influence pas beaucoup la consommation d'après la littérature</t>
  </si>
  <si>
    <t>m^3</t>
  </si>
  <si>
    <t>Dinars/m^3</t>
  </si>
  <si>
    <t>Source : Thabet et al_2005 - La tarification de l’eau d’irrigation en Tunisie  Une analyse en équilibre général.pdf (prix de 1994 pour utilisation agricole)
capture de la valeur de l'eau stockable pour comparaison avec et sans aménagement</t>
  </si>
  <si>
    <t>par hypothèse, envasement qui augmente plus rapidement sans aménagement que avec</t>
  </si>
  <si>
    <t>Source : "Annexe 111-11: Les réalisations CES de l'année 2002" page 270 de "Centre National des Etudes Agricoles_2006 05 - Etude d'impact des travaux CES dans le gouvernorat de Kairouan_Phase II_EE_kairouan.pdf"
Coût total : 1064887 Dinars pour 95405 jours de travail ;
soient en moyenne  11.161 Dinars/jour de travail
Défrichement jujibier sur 20 ha nécessitant 309 jours de travail
soient 172.449 Dinars par ha en moyenne pour cet aménagement
Coût total : 1064887 Dinars
Surface totale aménagée en 2002 : 4982 ha
soient en moyenne  213.7475 Dinars/ha</t>
  </si>
  <si>
    <t>par hypothèse, coût d'entretien des aménagements CES/ha * 1000 ha de bassin versant
Augmentent en lien avec l'envasement</t>
  </si>
  <si>
    <t>pas de données disponibles</t>
  </si>
  <si>
    <t>Coûts de construction des aménagements CES en amont du barrage (investissement)</t>
  </si>
  <si>
    <t>par hypothèse, 80% des coûts d'entretien du barrage sans aménagement CES en amont
Augmentent en lien avec l'envasement</t>
  </si>
  <si>
    <t>par hypothèse, 50% des coûts de construction des aménagements CES</t>
  </si>
  <si>
    <t>tours les 5 ans, 100% de la valeur de l'investissement initial est nécessaire pour réhabiliter les aménagements CES (jours de travail qui constutuent la majeure partie des dépenses)
1000 ha pris comme base pour le calcul par hypothèse</t>
  </si>
  <si>
    <t>à court terme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</si>
</sst>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
    <numFmt numFmtId="165" formatCode="0.0"/>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ont>
    <font>
      <sz val="11"/>
      <color theme="1"/>
      <name val="Calibri"/>
      <family val="2"/>
      <scheme val="minor"/>
    </font>
    <font>
      <sz val="9"/>
      <color indexed="81"/>
      <name val="Calibri"/>
      <family val="2"/>
    </font>
    <font>
      <u/>
      <sz val="12"/>
      <color theme="10"/>
      <name val="Calibri"/>
      <family val="2"/>
      <scheme val="minor"/>
    </font>
    <font>
      <u/>
      <sz val="12"/>
      <color theme="11"/>
      <name val="Calibri"/>
      <family val="2"/>
      <scheme val="minor"/>
    </font>
    <font>
      <sz val="12"/>
      <color theme="1"/>
      <name val="Calibri"/>
    </font>
    <font>
      <b/>
      <sz val="12"/>
      <color theme="9" tint="-0.249977111117893"/>
      <name val="Calibri"/>
    </font>
    <font>
      <sz val="12"/>
      <name val="Calibri"/>
    </font>
    <font>
      <b/>
      <sz val="12"/>
      <name val="Calibri"/>
    </font>
    <font>
      <sz val="10"/>
      <name val="Arial"/>
      <family val="2"/>
    </font>
    <font>
      <sz val="10"/>
      <color theme="1"/>
      <name val="Arial"/>
    </font>
    <font>
      <b/>
      <sz val="10"/>
      <color theme="1"/>
      <name val="Arial"/>
    </font>
    <font>
      <b/>
      <sz val="10"/>
      <name val="Arial"/>
    </font>
    <font>
      <sz val="10"/>
      <color rgb="FFFF0000"/>
      <name val="Arial"/>
    </font>
    <font>
      <b/>
      <sz val="10"/>
      <color rgb="FF008000"/>
      <name val="Arial"/>
    </font>
    <font>
      <b/>
      <i/>
      <sz val="12"/>
      <color theme="1"/>
      <name val="Calibri"/>
    </font>
    <font>
      <b/>
      <sz val="9"/>
      <color indexed="81"/>
      <name val="Calibri"/>
      <family val="2"/>
    </font>
    <font>
      <sz val="12"/>
      <name val="Calibri"/>
      <scheme val="minor"/>
    </font>
    <font>
      <b/>
      <sz val="12"/>
      <name val="Calibri"/>
      <scheme val="minor"/>
    </font>
    <font>
      <b/>
      <sz val="12"/>
      <color rgb="FF000000"/>
      <name val="Calibri"/>
      <family val="2"/>
      <scheme val="minor"/>
    </font>
    <font>
      <sz val="10"/>
      <color theme="9" tint="-0.249977111117893"/>
      <name val="Arial"/>
    </font>
  </fonts>
  <fills count="10">
    <fill>
      <patternFill patternType="none"/>
    </fill>
    <fill>
      <patternFill patternType="gray125"/>
    </fill>
    <fill>
      <patternFill patternType="solid">
        <fgColor theme="6"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EECE1"/>
        <bgColor rgb="FF000000"/>
      </patternFill>
    </fill>
    <fill>
      <patternFill patternType="solid">
        <fgColor rgb="FFFFFF00"/>
        <bgColor rgb="FF000000"/>
      </patternFill>
    </fill>
    <fill>
      <patternFill patternType="solid">
        <fgColor rgb="FFEBF1DE"/>
        <bgColor rgb="FF000000"/>
      </patternFill>
    </fill>
  </fills>
  <borders count="28">
    <border>
      <left/>
      <right/>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right/>
      <top/>
      <bottom style="medium">
        <color rgb="FF000000"/>
      </bottom>
      <diagonal/>
    </border>
  </borders>
  <cellStyleXfs count="1045">
    <xf numFmtId="0" fontId="0" fillId="0" borderId="0"/>
    <xf numFmtId="9" fontId="4" fillId="0" borderId="0" applyFont="0" applyFill="0" applyBorder="0" applyAlignment="0" applyProtection="0"/>
    <xf numFmtId="0"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03">
    <xf numFmtId="0" fontId="0" fillId="0" borderId="0" xfId="0"/>
    <xf numFmtId="0" fontId="5" fillId="2" borderId="0" xfId="0" applyFont="1" applyFill="1" applyAlignment="1">
      <alignment horizontal="center"/>
    </xf>
    <xf numFmtId="0" fontId="5" fillId="2" borderId="0" xfId="0" applyFont="1" applyFill="1" applyAlignment="1">
      <alignment horizontal="left"/>
    </xf>
    <xf numFmtId="0" fontId="10" fillId="0" borderId="0" xfId="0" applyFont="1" applyAlignment="1"/>
    <xf numFmtId="0" fontId="10" fillId="0" borderId="0" xfId="0" applyFont="1" applyFill="1"/>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2" xfId="0" applyFont="1" applyFill="1" applyBorder="1" applyAlignment="1">
      <alignment vertical="center" wrapText="1"/>
    </xf>
    <xf numFmtId="0" fontId="10" fillId="0" borderId="0" xfId="0" applyFont="1" applyFill="1" applyAlignment="1"/>
    <xf numFmtId="0" fontId="5" fillId="3" borderId="3" xfId="0" applyFont="1" applyFill="1" applyBorder="1" applyAlignment="1">
      <alignment horizontal="center" vertical="center" wrapText="1"/>
    </xf>
    <xf numFmtId="0" fontId="5" fillId="0" borderId="6" xfId="0" applyFont="1" applyFill="1" applyBorder="1" applyAlignment="1">
      <alignment vertical="center" wrapText="1"/>
    </xf>
    <xf numFmtId="0" fontId="11" fillId="0"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9" xfId="0" applyFont="1" applyFill="1" applyBorder="1" applyAlignment="1">
      <alignment vertical="center" wrapText="1"/>
    </xf>
    <xf numFmtId="0" fontId="11" fillId="0"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2" borderId="0" xfId="0" applyFont="1" applyFill="1" applyAlignment="1">
      <alignment horizontal="center" vertical="center"/>
    </xf>
    <xf numFmtId="0" fontId="10" fillId="0" borderId="0" xfId="0" applyFont="1" applyFill="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2"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vertical="center"/>
    </xf>
    <xf numFmtId="0" fontId="10" fillId="3" borderId="0" xfId="0" applyFont="1" applyFill="1" applyAlignment="1">
      <alignment horizontal="center" vertical="center"/>
    </xf>
    <xf numFmtId="0" fontId="5"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vertical="center" wrapText="1"/>
    </xf>
    <xf numFmtId="0" fontId="10" fillId="3" borderId="5" xfId="0" applyFont="1" applyFill="1" applyBorder="1" applyAlignment="1">
      <alignment horizontal="center" vertical="center"/>
    </xf>
    <xf numFmtId="0" fontId="10" fillId="3" borderId="5" xfId="0" applyFont="1" applyFill="1" applyBorder="1" applyAlignment="1">
      <alignment vertical="center" wrapText="1"/>
    </xf>
    <xf numFmtId="0" fontId="10" fillId="4" borderId="5" xfId="0" applyFont="1" applyFill="1" applyBorder="1" applyAlignment="1">
      <alignment horizontal="center" vertical="center"/>
    </xf>
    <xf numFmtId="0" fontId="10" fillId="4" borderId="5" xfId="0" applyFont="1" applyFill="1" applyBorder="1" applyAlignment="1">
      <alignment vertical="center" wrapText="1"/>
    </xf>
    <xf numFmtId="0" fontId="5" fillId="2" borderId="0" xfId="0" applyFont="1" applyFill="1" applyAlignment="1">
      <alignment horizontal="left" vertical="center" wrapText="1"/>
    </xf>
    <xf numFmtId="0" fontId="10" fillId="0" borderId="0" xfId="0" applyFont="1" applyFill="1" applyAlignment="1">
      <alignment horizontal="left" vertical="center" wrapText="1"/>
    </xf>
    <xf numFmtId="0" fontId="10" fillId="3" borderId="0" xfId="0" applyFont="1" applyFill="1" applyAlignment="1">
      <alignment horizontal="left" vertical="center" wrapText="1"/>
    </xf>
    <xf numFmtId="0" fontId="13" fillId="2" borderId="0" xfId="0" applyFont="1" applyFill="1" applyAlignment="1">
      <alignment horizontal="center" vertical="center" wrapText="1"/>
    </xf>
    <xf numFmtId="0" fontId="12" fillId="0" borderId="0" xfId="0" applyFont="1" applyFill="1" applyAlignment="1">
      <alignment horizontal="center" vertical="center" wrapText="1"/>
    </xf>
    <xf numFmtId="0" fontId="13" fillId="3" borderId="0" xfId="0" applyFont="1" applyFill="1" applyAlignment="1">
      <alignment horizontal="left" vertical="center"/>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5" xfId="0" applyFont="1" applyFill="1" applyBorder="1" applyAlignment="1">
      <alignment horizontal="right" vertical="center" wrapText="1"/>
    </xf>
    <xf numFmtId="9" fontId="12" fillId="3" borderId="5" xfId="1" applyFont="1" applyFill="1" applyBorder="1" applyAlignment="1">
      <alignment horizontal="right" vertical="center" wrapText="1"/>
    </xf>
    <xf numFmtId="0" fontId="14" fillId="0" borderId="13" xfId="0" applyFont="1" applyBorder="1"/>
    <xf numFmtId="0" fontId="14" fillId="0" borderId="0" xfId="0" applyFont="1"/>
    <xf numFmtId="0" fontId="15" fillId="0" borderId="0" xfId="0" applyFont="1"/>
    <xf numFmtId="0" fontId="16" fillId="0" borderId="0" xfId="2" applyFont="1"/>
    <xf numFmtId="0" fontId="14" fillId="0" borderId="0" xfId="0" applyFont="1" applyAlignment="1">
      <alignment horizontal="center"/>
    </xf>
    <xf numFmtId="0" fontId="17" fillId="0" borderId="0" xfId="0" applyFont="1" applyAlignment="1">
      <alignment horizontal="center"/>
    </xf>
    <xf numFmtId="0" fontId="14" fillId="0" borderId="13" xfId="0" applyFont="1" applyBorder="1" applyAlignment="1">
      <alignment horizontal="center"/>
    </xf>
    <xf numFmtId="0" fontId="14" fillId="0" borderId="0" xfId="0" applyFont="1" applyFill="1" applyAlignment="1">
      <alignment horizontal="center"/>
    </xf>
    <xf numFmtId="0" fontId="14" fillId="0" borderId="13" xfId="0" applyFont="1" applyFill="1" applyBorder="1" applyAlignment="1">
      <alignment horizontal="center"/>
    </xf>
    <xf numFmtId="0" fontId="15" fillId="4" borderId="0" xfId="2" applyFont="1" applyFill="1"/>
    <xf numFmtId="0" fontId="14" fillId="0" borderId="14" xfId="0" applyFont="1" applyBorder="1" applyAlignment="1">
      <alignment vertical="center" wrapText="1"/>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Fill="1" applyBorder="1" applyAlignment="1">
      <alignment horizontal="center" vertical="center" wrapText="1"/>
    </xf>
    <xf numFmtId="0" fontId="15" fillId="0" borderId="0" xfId="0" applyFont="1" applyAlignment="1">
      <alignment vertical="center" wrapText="1"/>
    </xf>
    <xf numFmtId="0" fontId="14" fillId="0" borderId="13" xfId="0" applyFont="1" applyFill="1" applyBorder="1"/>
    <xf numFmtId="0" fontId="14" fillId="0" borderId="16" xfId="0" applyFont="1" applyBorder="1"/>
    <xf numFmtId="0" fontId="15" fillId="0" borderId="0" xfId="0" applyFont="1" applyFill="1"/>
    <xf numFmtId="0" fontId="14" fillId="0" borderId="13" xfId="0" applyFont="1" applyFill="1" applyBorder="1" applyAlignment="1">
      <alignment wrapText="1"/>
    </xf>
    <xf numFmtId="0" fontId="14" fillId="0" borderId="13" xfId="0" applyFont="1" applyBorder="1" applyAlignment="1">
      <alignment horizontal="left" wrapText="1"/>
    </xf>
    <xf numFmtId="0" fontId="14" fillId="0" borderId="16" xfId="0" applyFont="1" applyBorder="1" applyAlignment="1">
      <alignment horizontal="left" wrapText="1"/>
    </xf>
    <xf numFmtId="0" fontId="17" fillId="0" borderId="13" xfId="0" applyFont="1" applyBorder="1"/>
    <xf numFmtId="0" fontId="14" fillId="0" borderId="16" xfId="0" applyFont="1" applyBorder="1" applyAlignment="1">
      <alignment wrapText="1"/>
    </xf>
    <xf numFmtId="0" fontId="14" fillId="0" borderId="18" xfId="0" applyFont="1" applyBorder="1" applyAlignment="1">
      <alignment horizontal="center" vertical="center" wrapText="1"/>
    </xf>
    <xf numFmtId="0" fontId="14" fillId="0" borderId="14" xfId="0" applyFont="1" applyBorder="1" applyAlignment="1">
      <alignment horizontal="left" wrapText="1"/>
    </xf>
    <xf numFmtId="0" fontId="17" fillId="0" borderId="13" xfId="0" applyFont="1" applyBorder="1" applyAlignment="1">
      <alignment horizontal="left" wrapText="1"/>
    </xf>
    <xf numFmtId="0" fontId="14" fillId="0" borderId="14" xfId="0" applyFont="1" applyFill="1" applyBorder="1" applyAlignment="1">
      <alignment horizontal="right"/>
    </xf>
    <xf numFmtId="0" fontId="14" fillId="0" borderId="18" xfId="0" applyFont="1" applyFill="1" applyBorder="1" applyAlignment="1">
      <alignment horizontal="center"/>
    </xf>
    <xf numFmtId="0" fontId="17" fillId="0" borderId="13" xfId="0" applyFont="1" applyFill="1" applyBorder="1"/>
    <xf numFmtId="0" fontId="14" fillId="0" borderId="20" xfId="0" applyFont="1" applyFill="1" applyBorder="1"/>
    <xf numFmtId="0" fontId="14" fillId="0" borderId="13" xfId="0" applyFont="1" applyFill="1" applyBorder="1" applyAlignment="1">
      <alignment horizontal="left" vertical="center" wrapText="1" indent="1"/>
    </xf>
    <xf numFmtId="4" fontId="14" fillId="0" borderId="20" xfId="0" applyNumberFormat="1" applyFont="1" applyFill="1" applyBorder="1" applyAlignment="1">
      <alignment vertical="center" wrapText="1"/>
    </xf>
    <xf numFmtId="0" fontId="15" fillId="0" borderId="0" xfId="0" applyFont="1" applyFill="1" applyAlignment="1">
      <alignment vertical="center" wrapText="1"/>
    </xf>
    <xf numFmtId="0" fontId="14" fillId="0" borderId="13" xfId="0" applyFont="1" applyFill="1" applyBorder="1" applyAlignment="1">
      <alignment horizontal="left" wrapText="1" indent="1"/>
    </xf>
    <xf numFmtId="4" fontId="14" fillId="0" borderId="20" xfId="0" applyNumberFormat="1" applyFont="1" applyFill="1" applyBorder="1"/>
    <xf numFmtId="0" fontId="14" fillId="0" borderId="14" xfId="0" applyFont="1" applyFill="1" applyBorder="1" applyAlignment="1">
      <alignment horizontal="left" wrapText="1" indent="1"/>
    </xf>
    <xf numFmtId="2" fontId="14" fillId="0" borderId="18" xfId="0" applyNumberFormat="1" applyFont="1" applyFill="1" applyBorder="1"/>
    <xf numFmtId="2" fontId="14" fillId="0" borderId="20" xfId="0" applyNumberFormat="1" applyFont="1" applyFill="1" applyBorder="1"/>
    <xf numFmtId="4" fontId="17" fillId="0" borderId="20" xfId="0" applyNumberFormat="1" applyFont="1" applyFill="1" applyBorder="1"/>
    <xf numFmtId="0" fontId="16" fillId="0" borderId="0" xfId="0" applyFont="1" applyFill="1"/>
    <xf numFmtId="0" fontId="15" fillId="0" borderId="13" xfId="0" applyFont="1" applyFill="1" applyBorder="1"/>
    <xf numFmtId="0" fontId="15" fillId="0" borderId="20" xfId="0" applyFont="1" applyFill="1" applyBorder="1"/>
    <xf numFmtId="2" fontId="15" fillId="0" borderId="0" xfId="0" applyNumberFormat="1" applyFont="1" applyFill="1"/>
    <xf numFmtId="4" fontId="14" fillId="0" borderId="18" xfId="0" applyNumberFormat="1" applyFont="1" applyFill="1" applyBorder="1"/>
    <xf numFmtId="0" fontId="15" fillId="0" borderId="0" xfId="0" applyFont="1" applyFill="1" applyBorder="1"/>
    <xf numFmtId="0" fontId="14" fillId="0" borderId="13" xfId="0" applyFont="1" applyFill="1" applyBorder="1" applyAlignment="1">
      <alignment horizontal="left" wrapText="1"/>
    </xf>
    <xf numFmtId="4" fontId="15" fillId="0" borderId="20" xfId="0" applyNumberFormat="1" applyFont="1" applyFill="1" applyBorder="1"/>
    <xf numFmtId="4" fontId="15" fillId="0" borderId="0" xfId="0" applyNumberFormat="1" applyFont="1" applyFill="1"/>
    <xf numFmtId="0" fontId="16" fillId="0" borderId="0" xfId="0" applyFont="1" applyFill="1" applyAlignment="1">
      <alignment horizontal="left" wrapText="1"/>
    </xf>
    <xf numFmtId="4" fontId="16" fillId="0" borderId="0" xfId="0" applyNumberFormat="1" applyFont="1" applyFill="1"/>
    <xf numFmtId="0" fontId="16" fillId="0" borderId="0" xfId="0" applyFont="1" applyFill="1" applyAlignment="1">
      <alignment horizontal="left"/>
    </xf>
    <xf numFmtId="0" fontId="19" fillId="0" borderId="0" xfId="0" applyFont="1" applyFill="1" applyAlignment="1">
      <alignment vertical="center"/>
    </xf>
    <xf numFmtId="9" fontId="16" fillId="0" borderId="0" xfId="0" applyNumberFormat="1" applyFont="1" applyFill="1"/>
    <xf numFmtId="0" fontId="17" fillId="0" borderId="13" xfId="0" applyFont="1" applyFill="1" applyBorder="1" applyAlignment="1">
      <alignment wrapText="1"/>
    </xf>
    <xf numFmtId="0" fontId="10" fillId="0" borderId="0" xfId="2" applyFont="1"/>
    <xf numFmtId="0" fontId="5" fillId="3" borderId="23" xfId="2" applyFont="1" applyFill="1" applyBorder="1" applyAlignment="1">
      <alignment horizontal="center" vertical="center" wrapText="1"/>
    </xf>
    <xf numFmtId="0" fontId="5" fillId="4" borderId="23" xfId="2" applyFont="1" applyFill="1" applyBorder="1" applyAlignment="1">
      <alignment horizontal="center" vertical="center" wrapText="1"/>
    </xf>
    <xf numFmtId="0" fontId="10" fillId="0" borderId="0" xfId="2" applyFont="1" applyAlignment="1">
      <alignment horizontal="center" vertical="center"/>
    </xf>
    <xf numFmtId="0" fontId="5" fillId="4" borderId="3" xfId="0" applyFont="1" applyFill="1" applyBorder="1" applyAlignment="1">
      <alignment horizontal="center" vertical="center" wrapText="1"/>
    </xf>
    <xf numFmtId="0" fontId="10" fillId="0" borderId="12" xfId="2" applyFont="1" applyBorder="1" applyAlignment="1">
      <alignment horizontal="right"/>
    </xf>
    <xf numFmtId="0" fontId="10" fillId="3" borderId="24" xfId="2" applyFont="1" applyFill="1" applyBorder="1"/>
    <xf numFmtId="0" fontId="10" fillId="4" borderId="24" xfId="2" applyFont="1" applyFill="1" applyBorder="1"/>
    <xf numFmtId="0" fontId="10" fillId="0" borderId="0" xfId="2" applyFont="1" applyAlignment="1">
      <alignment horizontal="left" vertical="center"/>
    </xf>
    <xf numFmtId="0" fontId="10" fillId="0" borderId="12" xfId="2" applyFont="1" applyBorder="1"/>
    <xf numFmtId="0" fontId="5" fillId="2" borderId="0" xfId="0" applyFont="1" applyFill="1" applyAlignment="1">
      <alignment horizontal="center" wrapText="1"/>
    </xf>
    <xf numFmtId="0" fontId="10" fillId="0" borderId="0" xfId="0" applyFont="1" applyFill="1" applyAlignment="1">
      <alignment horizontal="center"/>
    </xf>
    <xf numFmtId="0" fontId="10" fillId="0" borderId="0" xfId="0" applyFont="1" applyFill="1" applyAlignment="1">
      <alignment wrapText="1"/>
    </xf>
    <xf numFmtId="0" fontId="10" fillId="4" borderId="0" xfId="0" applyFont="1" applyFill="1" applyAlignment="1">
      <alignment horizontal="center"/>
    </xf>
    <xf numFmtId="0" fontId="10" fillId="4" borderId="0" xfId="0" applyFont="1" applyFill="1" applyAlignment="1">
      <alignment wrapText="1"/>
    </xf>
    <xf numFmtId="0" fontId="5" fillId="0" borderId="6"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10" fillId="4" borderId="5" xfId="0" applyFont="1" applyFill="1" applyBorder="1" applyAlignment="1">
      <alignment horizontal="right" vertical="center"/>
    </xf>
    <xf numFmtId="2" fontId="14" fillId="0" borderId="0" xfId="0" applyNumberFormat="1" applyFont="1" applyFill="1" applyAlignment="1">
      <alignment vertical="center"/>
    </xf>
    <xf numFmtId="2" fontId="14" fillId="0" borderId="13" xfId="0" applyNumberFormat="1" applyFont="1" applyFill="1" applyBorder="1" applyAlignment="1">
      <alignment vertical="center"/>
    </xf>
    <xf numFmtId="0" fontId="15" fillId="4" borderId="0" xfId="0" applyFont="1" applyFill="1"/>
    <xf numFmtId="0" fontId="16" fillId="0" borderId="0" xfId="0" applyFont="1"/>
    <xf numFmtId="9" fontId="15" fillId="4" borderId="0" xfId="0" applyNumberFormat="1" applyFont="1" applyFill="1"/>
    <xf numFmtId="0" fontId="15" fillId="0" borderId="0" xfId="0" applyFont="1" applyAlignment="1">
      <alignment wrapText="1"/>
    </xf>
    <xf numFmtId="0" fontId="15" fillId="0" borderId="0" xfId="0" applyFont="1" applyAlignment="1">
      <alignment horizontal="right"/>
    </xf>
    <xf numFmtId="1" fontId="17" fillId="0" borderId="0" xfId="0" applyNumberFormat="1" applyFont="1" applyFill="1"/>
    <xf numFmtId="9" fontId="15" fillId="0" borderId="0" xfId="0" applyNumberFormat="1" applyFont="1"/>
    <xf numFmtId="0" fontId="12" fillId="0" borderId="5" xfId="0" applyFont="1" applyFill="1" applyBorder="1" applyAlignment="1">
      <alignment horizontal="center" vertical="center"/>
    </xf>
    <xf numFmtId="9" fontId="12" fillId="4" borderId="24" xfId="1" applyNumberFormat="1" applyFont="1" applyFill="1" applyBorder="1"/>
    <xf numFmtId="0" fontId="10" fillId="5" borderId="12" xfId="2" applyFont="1" applyFill="1" applyBorder="1"/>
    <xf numFmtId="0" fontId="20" fillId="0" borderId="25" xfId="0" applyFont="1" applyFill="1" applyBorder="1" applyAlignment="1">
      <alignment horizontal="right" vertical="center" wrapText="1"/>
    </xf>
    <xf numFmtId="0" fontId="10" fillId="5" borderId="12" xfId="2" applyFont="1" applyFill="1" applyBorder="1" applyAlignment="1">
      <alignment wrapText="1"/>
    </xf>
    <xf numFmtId="0" fontId="5" fillId="5" borderId="2" xfId="0" applyFont="1" applyFill="1" applyBorder="1" applyAlignment="1">
      <alignment vertical="center" wrapText="1"/>
    </xf>
    <xf numFmtId="9" fontId="5" fillId="5" borderId="3" xfId="1" applyFont="1" applyFill="1" applyBorder="1" applyAlignment="1">
      <alignment horizontal="center" vertical="center" wrapText="1"/>
    </xf>
    <xf numFmtId="0" fontId="5" fillId="0" borderId="23" xfId="0" applyFont="1" applyFill="1" applyBorder="1" applyAlignment="1">
      <alignment vertical="center" wrapText="1"/>
    </xf>
    <xf numFmtId="0" fontId="10" fillId="0" borderId="0" xfId="2" applyFont="1" applyAlignment="1">
      <alignment horizontal="left"/>
    </xf>
    <xf numFmtId="0" fontId="5" fillId="0" borderId="26" xfId="0" applyFont="1" applyFill="1" applyBorder="1" applyAlignment="1">
      <alignment vertical="center" wrapText="1"/>
    </xf>
    <xf numFmtId="0" fontId="5" fillId="0" borderId="2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xf numFmtId="9" fontId="12" fillId="3" borderId="24" xfId="1" applyNumberFormat="1" applyFont="1" applyFill="1" applyBorder="1"/>
    <xf numFmtId="9" fontId="12" fillId="5" borderId="24" xfId="1" applyNumberFormat="1" applyFont="1" applyFill="1" applyBorder="1"/>
    <xf numFmtId="9" fontId="20" fillId="3" borderId="25" xfId="1" applyNumberFormat="1" applyFont="1" applyFill="1" applyBorder="1" applyAlignment="1">
      <alignment horizontal="center" vertical="center" wrapText="1"/>
    </xf>
    <xf numFmtId="9" fontId="20" fillId="4" borderId="25" xfId="1" applyNumberFormat="1" applyFont="1" applyFill="1" applyBorder="1" applyAlignment="1">
      <alignment horizontal="center" vertical="center" wrapText="1"/>
    </xf>
    <xf numFmtId="9" fontId="10" fillId="5" borderId="24" xfId="1" applyNumberFormat="1" applyFont="1" applyFill="1" applyBorder="1"/>
    <xf numFmtId="9" fontId="5" fillId="3" borderId="25" xfId="1" applyNumberFormat="1" applyFont="1" applyFill="1" applyBorder="1" applyAlignment="1">
      <alignment horizontal="center" vertical="center" wrapText="1"/>
    </xf>
    <xf numFmtId="9" fontId="5" fillId="4" borderId="25" xfId="1" applyNumberFormat="1" applyFont="1" applyFill="1" applyBorder="1" applyAlignment="1">
      <alignment horizontal="center" vertical="center" wrapText="1"/>
    </xf>
    <xf numFmtId="0" fontId="12" fillId="3" borderId="5" xfId="0" applyFont="1" applyFill="1" applyBorder="1" applyAlignment="1">
      <alignment horizontal="right" vertical="center"/>
    </xf>
    <xf numFmtId="0" fontId="12" fillId="3" borderId="5" xfId="0" applyFont="1" applyFill="1" applyBorder="1" applyAlignment="1">
      <alignment horizontal="center" vertical="center"/>
    </xf>
    <xf numFmtId="0" fontId="13" fillId="3" borderId="3" xfId="0" applyFont="1" applyFill="1" applyBorder="1" applyAlignment="1">
      <alignment horizontal="center" vertical="center" wrapText="1"/>
    </xf>
    <xf numFmtId="0" fontId="17" fillId="0" borderId="0" xfId="0" applyFont="1"/>
    <xf numFmtId="0" fontId="14" fillId="0" borderId="13" xfId="0" applyFont="1" applyBorder="1" applyAlignment="1">
      <alignment wrapText="1"/>
    </xf>
    <xf numFmtId="2" fontId="14" fillId="4" borderId="13" xfId="0" applyNumberFormat="1" applyFont="1" applyFill="1" applyBorder="1" applyAlignment="1">
      <alignment vertical="center"/>
    </xf>
    <xf numFmtId="2" fontId="14" fillId="4" borderId="0" xfId="0" applyNumberFormat="1" applyFont="1" applyFill="1" applyAlignment="1">
      <alignment vertical="center"/>
    </xf>
    <xf numFmtId="2" fontId="18" fillId="0" borderId="0" xfId="0" applyNumberFormat="1" applyFont="1" applyAlignment="1">
      <alignment vertical="center"/>
    </xf>
    <xf numFmtId="2" fontId="14" fillId="0" borderId="0" xfId="0" applyNumberFormat="1" applyFont="1" applyAlignment="1">
      <alignment vertical="center"/>
    </xf>
    <xf numFmtId="2" fontId="14" fillId="0" borderId="13" xfId="0" applyNumberFormat="1" applyFont="1" applyBorder="1" applyAlignment="1">
      <alignment vertical="center"/>
    </xf>
    <xf numFmtId="164" fontId="14" fillId="4" borderId="0" xfId="0" applyNumberFormat="1" applyFont="1" applyFill="1" applyAlignment="1">
      <alignment vertical="center"/>
    </xf>
    <xf numFmtId="164" fontId="14" fillId="0" borderId="0" xfId="0" applyNumberFormat="1" applyFont="1" applyFill="1" applyAlignment="1">
      <alignment vertical="center"/>
    </xf>
    <xf numFmtId="164" fontId="14" fillId="4" borderId="13" xfId="0" applyNumberFormat="1" applyFont="1" applyFill="1" applyBorder="1" applyAlignment="1">
      <alignment vertical="center"/>
    </xf>
    <xf numFmtId="164" fontId="14" fillId="5" borderId="0" xfId="0" applyNumberFormat="1" applyFont="1" applyFill="1" applyAlignment="1">
      <alignment vertical="center"/>
    </xf>
    <xf numFmtId="164" fontId="14" fillId="5" borderId="13" xfId="0" applyNumberFormat="1" applyFont="1" applyFill="1" applyBorder="1" applyAlignment="1">
      <alignment vertical="center"/>
    </xf>
    <xf numFmtId="164" fontId="14" fillId="0" borderId="17" xfId="0" applyNumberFormat="1" applyFont="1" applyFill="1" applyBorder="1" applyAlignment="1">
      <alignment vertical="center"/>
    </xf>
    <xf numFmtId="164" fontId="14" fillId="0" borderId="16" xfId="0" applyNumberFormat="1" applyFont="1" applyFill="1" applyBorder="1" applyAlignment="1">
      <alignment vertical="center"/>
    </xf>
    <xf numFmtId="164" fontId="14" fillId="0" borderId="13" xfId="0" applyNumberFormat="1" applyFont="1" applyFill="1" applyBorder="1" applyAlignment="1">
      <alignment vertical="center"/>
    </xf>
    <xf numFmtId="164" fontId="17" fillId="0" borderId="0" xfId="0" applyNumberFormat="1" applyFont="1" applyFill="1" applyAlignment="1">
      <alignment vertical="center"/>
    </xf>
    <xf numFmtId="164" fontId="17" fillId="0" borderId="13" xfId="0" applyNumberFormat="1" applyFont="1" applyFill="1" applyBorder="1" applyAlignment="1">
      <alignment vertical="center"/>
    </xf>
    <xf numFmtId="164" fontId="14" fillId="0" borderId="20" xfId="0" applyNumberFormat="1" applyFont="1" applyFill="1" applyBorder="1" applyAlignment="1">
      <alignment horizontal="right" vertical="center"/>
    </xf>
    <xf numFmtId="164" fontId="14" fillId="0" borderId="21" xfId="0" applyNumberFormat="1" applyFont="1" applyFill="1" applyBorder="1" applyAlignment="1">
      <alignment horizontal="right" vertical="center"/>
    </xf>
    <xf numFmtId="164" fontId="14" fillId="0" borderId="18" xfId="0" applyNumberFormat="1" applyFont="1" applyFill="1" applyBorder="1" applyAlignment="1">
      <alignment horizontal="right" vertical="center"/>
    </xf>
    <xf numFmtId="164" fontId="14" fillId="0" borderId="19" xfId="0" applyNumberFormat="1" applyFont="1" applyFill="1" applyBorder="1" applyAlignment="1">
      <alignment horizontal="right" vertical="center"/>
    </xf>
    <xf numFmtId="164" fontId="17" fillId="0" borderId="20" xfId="0" applyNumberFormat="1" applyFont="1" applyFill="1" applyBorder="1" applyAlignment="1">
      <alignment vertical="center"/>
    </xf>
    <xf numFmtId="164" fontId="17" fillId="0" borderId="21" xfId="0" applyNumberFormat="1" applyFont="1" applyFill="1" applyBorder="1" applyAlignment="1">
      <alignment vertical="center"/>
    </xf>
    <xf numFmtId="164" fontId="14" fillId="0" borderId="22" xfId="0" applyNumberFormat="1" applyFont="1" applyFill="1" applyBorder="1" applyAlignment="1">
      <alignment horizontal="right" vertical="center"/>
    </xf>
    <xf numFmtId="165" fontId="14" fillId="4" borderId="0" xfId="0" applyNumberFormat="1" applyFont="1" applyFill="1" applyAlignment="1">
      <alignment vertical="center"/>
    </xf>
    <xf numFmtId="165" fontId="14" fillId="4" borderId="13" xfId="0" applyNumberFormat="1" applyFont="1" applyFill="1" applyBorder="1" applyAlignment="1">
      <alignment vertical="center"/>
    </xf>
    <xf numFmtId="165" fontId="14" fillId="0" borderId="0" xfId="0" applyNumberFormat="1" applyFont="1" applyFill="1" applyAlignment="1">
      <alignment vertical="center"/>
    </xf>
    <xf numFmtId="0" fontId="14" fillId="0" borderId="0" xfId="0" applyFont="1" applyFill="1"/>
    <xf numFmtId="164" fontId="14" fillId="4" borderId="16" xfId="0" applyNumberFormat="1" applyFont="1" applyFill="1" applyBorder="1" applyAlignment="1">
      <alignment vertical="center"/>
    </xf>
    <xf numFmtId="164" fontId="14" fillId="4" borderId="17" xfId="0" applyNumberFormat="1" applyFont="1" applyFill="1" applyBorder="1" applyAlignment="1">
      <alignment vertical="center"/>
    </xf>
    <xf numFmtId="164" fontId="17" fillId="0" borderId="17" xfId="0" applyNumberFormat="1" applyFont="1" applyFill="1" applyBorder="1" applyAlignment="1">
      <alignment vertical="center"/>
    </xf>
    <xf numFmtId="4" fontId="17" fillId="0" borderId="20" xfId="0" applyNumberFormat="1" applyFont="1" applyFill="1" applyBorder="1" applyAlignment="1">
      <alignment vertical="center" wrapText="1"/>
    </xf>
    <xf numFmtId="4" fontId="18" fillId="0" borderId="20" xfId="0" applyNumberFormat="1" applyFont="1" applyFill="1" applyBorder="1"/>
    <xf numFmtId="0" fontId="5" fillId="0" borderId="0" xfId="0" applyFont="1" applyFill="1" applyAlignment="1">
      <alignment horizontal="center" vertical="center"/>
    </xf>
    <xf numFmtId="0" fontId="5" fillId="3" borderId="0" xfId="0" applyFont="1" applyFill="1" applyAlignment="1">
      <alignment horizontal="left" vertical="center"/>
    </xf>
    <xf numFmtId="0" fontId="13" fillId="3" borderId="7" xfId="0" applyFont="1" applyFill="1" applyBorder="1" applyAlignment="1">
      <alignment horizontal="center" vertical="center"/>
    </xf>
    <xf numFmtId="0" fontId="13" fillId="3" borderId="10" xfId="0" applyFont="1" applyFill="1" applyBorder="1" applyAlignment="1">
      <alignment horizontal="center" vertical="center"/>
    </xf>
    <xf numFmtId="0" fontId="5" fillId="0" borderId="6" xfId="0" applyFont="1" applyFill="1" applyBorder="1" applyAlignment="1">
      <alignment horizontal="center" vertical="center" wrapText="1"/>
    </xf>
    <xf numFmtId="0" fontId="12" fillId="3" borderId="5" xfId="0" applyFont="1" applyFill="1" applyBorder="1" applyAlignment="1">
      <alignment horizontal="left" vertical="center" wrapText="1"/>
    </xf>
    <xf numFmtId="0" fontId="12" fillId="3" borderId="5" xfId="0" applyFont="1" applyFill="1" applyBorder="1" applyAlignment="1">
      <alignment vertical="center" wrapText="1"/>
    </xf>
    <xf numFmtId="0" fontId="12" fillId="4" borderId="5" xfId="0" applyFont="1" applyFill="1" applyBorder="1" applyAlignment="1">
      <alignment horizontal="right" vertical="center"/>
    </xf>
    <xf numFmtId="0" fontId="12" fillId="4" borderId="5" xfId="0" applyFont="1" applyFill="1" applyBorder="1" applyAlignment="1">
      <alignment horizontal="center" vertical="center"/>
    </xf>
    <xf numFmtId="0" fontId="12" fillId="4" borderId="5" xfId="0" applyFont="1" applyFill="1" applyBorder="1" applyAlignment="1">
      <alignment vertical="center" wrapText="1"/>
    </xf>
    <xf numFmtId="0" fontId="12" fillId="3" borderId="3"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3" xfId="0" applyFont="1" applyFill="1" applyBorder="1" applyAlignment="1">
      <alignment horizontal="left" vertical="center" wrapText="1"/>
    </xf>
    <xf numFmtId="0" fontId="13" fillId="4" borderId="3" xfId="0" applyFont="1" applyFill="1" applyBorder="1" applyAlignment="1">
      <alignment horizontal="right" vertical="center"/>
    </xf>
    <xf numFmtId="0" fontId="13" fillId="4" borderId="3" xfId="0" applyFont="1" applyFill="1" applyBorder="1" applyAlignment="1">
      <alignment horizontal="center" vertical="center"/>
    </xf>
    <xf numFmtId="0" fontId="13" fillId="4" borderId="4" xfId="0" applyFont="1" applyFill="1" applyBorder="1" applyAlignment="1">
      <alignment horizontal="left" vertical="center" wrapText="1"/>
    </xf>
    <xf numFmtId="0" fontId="12" fillId="3" borderId="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10" xfId="0" applyFont="1" applyFill="1" applyBorder="1" applyAlignment="1">
      <alignment horizontal="left" vertical="center" wrapText="1"/>
    </xf>
    <xf numFmtId="9" fontId="5" fillId="5" borderId="3" xfId="1"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20" fillId="5" borderId="25" xfId="0" applyFont="1" applyFill="1" applyBorder="1" applyAlignment="1">
      <alignment horizontal="right" vertical="center" wrapText="1"/>
    </xf>
    <xf numFmtId="9" fontId="20" fillId="5" borderId="25" xfId="1" applyNumberFormat="1" applyFont="1" applyFill="1" applyBorder="1" applyAlignment="1">
      <alignment horizontal="center" vertical="center" wrapText="1"/>
    </xf>
    <xf numFmtId="0" fontId="22" fillId="7" borderId="5" xfId="0" applyFont="1" applyFill="1" applyBorder="1" applyAlignment="1">
      <alignment vertical="center" wrapText="1"/>
    </xf>
    <xf numFmtId="0" fontId="12" fillId="4" borderId="5" xfId="0" applyFont="1" applyFill="1" applyBorder="1" applyAlignment="1">
      <alignment horizontal="center" vertical="center" wrapText="1"/>
    </xf>
    <xf numFmtId="0" fontId="10" fillId="4" borderId="0" xfId="0" applyFont="1" applyFill="1" applyAlignment="1">
      <alignment horizontal="center" vertical="center" wrapText="1"/>
    </xf>
    <xf numFmtId="0" fontId="13" fillId="4" borderId="3" xfId="0" applyFont="1" applyFill="1" applyBorder="1" applyAlignment="1">
      <alignment horizontal="center" vertical="center" wrapText="1"/>
    </xf>
    <xf numFmtId="0" fontId="10" fillId="0" borderId="0" xfId="0" applyFont="1" applyFill="1" applyAlignment="1">
      <alignment horizontal="center" vertical="center" wrapText="1"/>
    </xf>
    <xf numFmtId="0" fontId="12" fillId="6" borderId="5" xfId="0" applyFont="1" applyFill="1" applyBorder="1" applyAlignment="1">
      <alignment horizontal="center" vertical="center"/>
    </xf>
    <xf numFmtId="0" fontId="23" fillId="8" borderId="5" xfId="0" applyFont="1" applyFill="1" applyBorder="1" applyAlignment="1">
      <alignment horizontal="center" vertical="center"/>
    </xf>
    <xf numFmtId="0" fontId="22" fillId="0" borderId="16" xfId="0" applyFont="1" applyBorder="1" applyAlignment="1">
      <alignment horizontal="center" vertical="center"/>
    </xf>
    <xf numFmtId="0" fontId="22" fillId="7" borderId="16" xfId="0" applyFont="1" applyFill="1" applyBorder="1" applyAlignment="1">
      <alignment horizontal="center" vertical="center"/>
    </xf>
    <xf numFmtId="0" fontId="22" fillId="7" borderId="16" xfId="0" applyFont="1" applyFill="1" applyBorder="1" applyAlignment="1">
      <alignment horizontal="left" vertical="center" wrapText="1"/>
    </xf>
    <xf numFmtId="0" fontId="22" fillId="7" borderId="16" xfId="0" applyFont="1" applyFill="1" applyBorder="1" applyAlignment="1">
      <alignment vertical="center" wrapText="1"/>
    </xf>
    <xf numFmtId="0" fontId="22" fillId="9" borderId="16" xfId="0" applyFont="1" applyFill="1" applyBorder="1" applyAlignment="1">
      <alignment horizontal="right" vertical="center"/>
    </xf>
    <xf numFmtId="0" fontId="22" fillId="9" borderId="16" xfId="0" applyFont="1" applyFill="1" applyBorder="1" applyAlignment="1">
      <alignment horizontal="center" vertical="center"/>
    </xf>
    <xf numFmtId="0" fontId="22" fillId="9" borderId="16" xfId="0" applyFont="1" applyFill="1" applyBorder="1" applyAlignment="1">
      <alignment horizontal="center" vertical="center" wrapText="1"/>
    </xf>
    <xf numFmtId="0" fontId="22" fillId="9" borderId="16" xfId="0" applyFont="1" applyFill="1" applyBorder="1" applyAlignment="1">
      <alignment vertical="center" wrapText="1"/>
    </xf>
    <xf numFmtId="0" fontId="5" fillId="4" borderId="8"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5" xfId="0" applyFont="1" applyFill="1" applyBorder="1" applyAlignment="1">
      <alignment horizontal="left" vertical="center" wrapText="1"/>
    </xf>
    <xf numFmtId="0" fontId="13" fillId="3" borderId="5" xfId="0" applyFont="1" applyFill="1" applyBorder="1" applyAlignment="1">
      <alignment vertical="center" wrapText="1"/>
    </xf>
    <xf numFmtId="0" fontId="13" fillId="4" borderId="5" xfId="0" applyFont="1" applyFill="1" applyBorder="1" applyAlignment="1">
      <alignment horizontal="right" vertical="center"/>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vertical="center" wrapText="1"/>
    </xf>
    <xf numFmtId="0" fontId="5" fillId="0" borderId="0" xfId="0" applyFont="1" applyFill="1"/>
    <xf numFmtId="9" fontId="10" fillId="0" borderId="0" xfId="1" applyFont="1"/>
    <xf numFmtId="2" fontId="12" fillId="3" borderId="5" xfId="0" applyNumberFormat="1" applyFont="1" applyFill="1" applyBorder="1" applyAlignment="1">
      <alignment horizontal="right" vertical="center"/>
    </xf>
    <xf numFmtId="0" fontId="10" fillId="3" borderId="5" xfId="0" applyFont="1" applyFill="1" applyBorder="1" applyAlignment="1">
      <alignment horizontal="left" vertical="center" wrapText="1"/>
    </xf>
    <xf numFmtId="9" fontId="12" fillId="3" borderId="3" xfId="0" applyNumberFormat="1" applyFont="1" applyFill="1" applyBorder="1" applyAlignment="1">
      <alignment horizontal="right" vertical="center" wrapText="1"/>
    </xf>
    <xf numFmtId="0" fontId="12" fillId="0" borderId="5" xfId="0" applyFont="1" applyFill="1" applyBorder="1" applyAlignment="1">
      <alignment horizontal="center" vertical="center" wrapText="1"/>
    </xf>
    <xf numFmtId="1" fontId="12" fillId="3" borderId="5" xfId="0" applyNumberFormat="1" applyFont="1" applyFill="1" applyBorder="1" applyAlignment="1">
      <alignment horizontal="right" vertical="center"/>
    </xf>
    <xf numFmtId="2" fontId="10" fillId="4" borderId="5" xfId="0" applyNumberFormat="1" applyFont="1" applyFill="1" applyBorder="1" applyAlignment="1">
      <alignment horizontal="right" vertical="center"/>
    </xf>
    <xf numFmtId="1" fontId="10" fillId="4" borderId="5" xfId="0" applyNumberFormat="1" applyFont="1" applyFill="1" applyBorder="1" applyAlignment="1">
      <alignment horizontal="right" vertical="center"/>
    </xf>
    <xf numFmtId="9" fontId="12" fillId="3" borderId="5" xfId="0" applyNumberFormat="1" applyFont="1" applyFill="1" applyBorder="1" applyAlignment="1">
      <alignment horizontal="right" vertical="center"/>
    </xf>
    <xf numFmtId="9" fontId="10" fillId="4" borderId="5" xfId="0" applyNumberFormat="1" applyFont="1" applyFill="1" applyBorder="1" applyAlignment="1">
      <alignment horizontal="right" vertical="center"/>
    </xf>
    <xf numFmtId="2" fontId="17" fillId="0" borderId="0" xfId="0" applyNumberFormat="1" applyFont="1" applyFill="1" applyAlignment="1">
      <alignment vertical="center"/>
    </xf>
    <xf numFmtId="0" fontId="10" fillId="0" borderId="0" xfId="2" applyFont="1" applyAlignment="1">
      <alignment horizontal="left" wrapText="1"/>
    </xf>
    <xf numFmtId="164" fontId="14" fillId="5" borderId="17" xfId="0" applyNumberFormat="1" applyFont="1" applyFill="1" applyBorder="1" applyAlignment="1">
      <alignment vertical="center"/>
    </xf>
    <xf numFmtId="164" fontId="14" fillId="5" borderId="16" xfId="0" applyNumberFormat="1" applyFont="1" applyFill="1" applyBorder="1" applyAlignment="1">
      <alignment vertical="center"/>
    </xf>
    <xf numFmtId="164" fontId="17" fillId="5" borderId="17" xfId="0" applyNumberFormat="1" applyFont="1" applyFill="1" applyBorder="1" applyAlignment="1">
      <alignment vertical="center"/>
    </xf>
    <xf numFmtId="164" fontId="17" fillId="5" borderId="16" xfId="0" applyNumberFormat="1" applyFont="1" applyFill="1" applyBorder="1" applyAlignment="1">
      <alignment vertical="center"/>
    </xf>
    <xf numFmtId="3" fontId="14" fillId="4" borderId="0" xfId="0" applyNumberFormat="1" applyFont="1" applyFill="1" applyAlignment="1">
      <alignment vertical="center"/>
    </xf>
    <xf numFmtId="0" fontId="17" fillId="0" borderId="0" xfId="0" applyFont="1" applyFill="1" applyAlignment="1">
      <alignment horizontal="center"/>
    </xf>
    <xf numFmtId="0" fontId="14" fillId="0" borderId="14" xfId="0" applyFont="1" applyFill="1" applyBorder="1" applyAlignment="1">
      <alignment horizontal="center" vertical="center" wrapText="1"/>
    </xf>
    <xf numFmtId="0" fontId="14" fillId="0" borderId="16" xfId="0" applyFont="1" applyBorder="1" applyAlignment="1">
      <alignment horizontal="left" vertical="top" wrapText="1"/>
    </xf>
    <xf numFmtId="0" fontId="10" fillId="0" borderId="12" xfId="2" applyFont="1" applyBorder="1" applyAlignment="1">
      <alignment vertical="center"/>
    </xf>
    <xf numFmtId="9" fontId="12" fillId="3" borderId="24" xfId="1" applyNumberFormat="1" applyFont="1" applyFill="1" applyBorder="1" applyAlignment="1">
      <alignment vertical="center"/>
    </xf>
    <xf numFmtId="9" fontId="12" fillId="4" borderId="24" xfId="1" applyNumberFormat="1" applyFont="1" applyFill="1" applyBorder="1" applyAlignment="1">
      <alignment vertical="center"/>
    </xf>
    <xf numFmtId="0" fontId="14" fillId="0" borderId="0" xfId="0" applyFont="1" applyFill="1" applyBorder="1" applyAlignment="1">
      <alignment horizontal="right" vertical="center" wrapText="1" indent="1"/>
    </xf>
    <xf numFmtId="0" fontId="22" fillId="0" borderId="0" xfId="0" applyFont="1"/>
    <xf numFmtId="1" fontId="19" fillId="0" borderId="0" xfId="0" applyNumberFormat="1" applyFont="1" applyFill="1" applyAlignment="1">
      <alignment vertical="center"/>
    </xf>
    <xf numFmtId="0" fontId="0" fillId="0" borderId="0" xfId="0" applyAlignment="1">
      <alignment vertical="center"/>
    </xf>
    <xf numFmtId="0" fontId="14" fillId="0" borderId="20" xfId="0" applyFont="1" applyFill="1" applyBorder="1" applyAlignment="1">
      <alignment vertical="center"/>
    </xf>
    <xf numFmtId="0" fontId="22" fillId="0" borderId="0" xfId="0" applyFont="1" applyAlignment="1">
      <alignment vertical="center"/>
    </xf>
    <xf numFmtId="1" fontId="14" fillId="0" borderId="20" xfId="0" applyNumberFormat="1" applyFont="1" applyFill="1" applyBorder="1" applyAlignment="1">
      <alignment vertical="center"/>
    </xf>
    <xf numFmtId="0" fontId="14" fillId="0" borderId="13" xfId="0" applyFont="1" applyFill="1" applyBorder="1" applyAlignment="1">
      <alignment vertical="center"/>
    </xf>
    <xf numFmtId="1" fontId="22" fillId="0" borderId="0" xfId="0" applyNumberFormat="1" applyFont="1" applyAlignment="1">
      <alignment vertical="center"/>
    </xf>
    <xf numFmtId="0" fontId="14" fillId="0" borderId="0" xfId="0" applyFont="1" applyFill="1" applyAlignment="1">
      <alignment vertical="center"/>
    </xf>
    <xf numFmtId="0" fontId="17" fillId="0" borderId="0" xfId="0" applyFont="1" applyFill="1" applyAlignment="1">
      <alignment vertical="center"/>
    </xf>
    <xf numFmtId="0" fontId="14" fillId="0" borderId="14" xfId="0" applyFont="1" applyFill="1" applyBorder="1" applyAlignment="1">
      <alignment horizontal="left" vertical="center" wrapText="1" indent="1"/>
    </xf>
    <xf numFmtId="0" fontId="25" fillId="0" borderId="0" xfId="0" applyFont="1" applyFill="1" applyAlignment="1">
      <alignment vertical="center"/>
    </xf>
    <xf numFmtId="1" fontId="25" fillId="0" borderId="0" xfId="0" applyNumberFormat="1" applyFont="1" applyFill="1" applyAlignment="1">
      <alignment vertical="center"/>
    </xf>
    <xf numFmtId="1" fontId="15" fillId="0" borderId="0" xfId="0" applyNumberFormat="1" applyFont="1" applyFill="1" applyAlignment="1">
      <alignment vertical="center"/>
    </xf>
    <xf numFmtId="0" fontId="17" fillId="0" borderId="13" xfId="0" applyFont="1" applyFill="1" applyBorder="1" applyAlignment="1"/>
    <xf numFmtId="0" fontId="14" fillId="0" borderId="13" xfId="0" applyFont="1" applyFill="1" applyBorder="1" applyAlignment="1">
      <alignment horizontal="left" vertical="center" wrapText="1" indent="3"/>
    </xf>
    <xf numFmtId="3" fontId="14" fillId="0" borderId="20" xfId="774" applyNumberFormat="1" applyFont="1" applyFill="1" applyBorder="1" applyAlignment="1">
      <alignment vertical="center" wrapText="1"/>
    </xf>
    <xf numFmtId="3" fontId="14" fillId="0" borderId="20" xfId="774" applyNumberFormat="1" applyFont="1" applyFill="1" applyBorder="1" applyAlignment="1">
      <alignment vertical="center"/>
    </xf>
    <xf numFmtId="3" fontId="22" fillId="0" borderId="0" xfId="0" applyNumberFormat="1" applyFont="1" applyAlignment="1">
      <alignment vertical="center"/>
    </xf>
    <xf numFmtId="3" fontId="14" fillId="0" borderId="20" xfId="0" applyNumberFormat="1" applyFont="1" applyFill="1" applyBorder="1" applyAlignment="1">
      <alignment vertical="center"/>
    </xf>
    <xf numFmtId="3" fontId="17" fillId="0" borderId="20" xfId="0" applyNumberFormat="1" applyFont="1" applyFill="1" applyBorder="1" applyAlignment="1">
      <alignment vertical="center"/>
    </xf>
    <xf numFmtId="1" fontId="17" fillId="0" borderId="0" xfId="0" applyNumberFormat="1" applyFont="1" applyFill="1" applyAlignment="1">
      <alignment horizontal="left" vertical="center"/>
    </xf>
    <xf numFmtId="1" fontId="14" fillId="0" borderId="0" xfId="0" applyNumberFormat="1" applyFont="1" applyFill="1" applyAlignment="1">
      <alignment vertical="center"/>
    </xf>
    <xf numFmtId="3" fontId="12" fillId="3" borderId="5" xfId="774" applyNumberFormat="1" applyFont="1" applyFill="1" applyBorder="1" applyAlignment="1">
      <alignment horizontal="right" vertical="center"/>
    </xf>
    <xf numFmtId="3" fontId="10" fillId="4" borderId="5" xfId="774"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3" borderId="5" xfId="0" applyNumberFormat="1" applyFont="1" applyFill="1" applyBorder="1" applyAlignment="1">
      <alignment horizontal="center" vertical="center"/>
    </xf>
    <xf numFmtId="3" fontId="14" fillId="0" borderId="18" xfId="0" applyNumberFormat="1" applyFont="1" applyFill="1" applyBorder="1" applyAlignment="1">
      <alignment vertical="center"/>
    </xf>
    <xf numFmtId="3" fontId="14" fillId="0" borderId="20" xfId="0" applyNumberFormat="1" applyFont="1" applyFill="1" applyBorder="1"/>
    <xf numFmtId="0" fontId="22" fillId="0" borderId="0" xfId="0" applyFont="1" applyFill="1" applyAlignment="1">
      <alignment vertical="center"/>
    </xf>
    <xf numFmtId="0" fontId="10" fillId="4" borderId="5" xfId="0" applyFont="1" applyFill="1" applyBorder="1" applyAlignment="1">
      <alignment horizontal="left" vertical="center" wrapText="1"/>
    </xf>
    <xf numFmtId="3" fontId="16" fillId="0" borderId="0" xfId="0" applyNumberFormat="1" applyFont="1" applyFill="1"/>
    <xf numFmtId="0" fontId="5" fillId="0" borderId="6" xfId="2" applyFont="1" applyFill="1" applyBorder="1" applyAlignment="1">
      <alignment horizontal="center" wrapText="1"/>
    </xf>
    <xf numFmtId="0" fontId="5" fillId="0" borderId="8" xfId="2" applyFont="1" applyFill="1" applyBorder="1" applyAlignment="1">
      <alignment horizontal="center"/>
    </xf>
    <xf numFmtId="0" fontId="5" fillId="3" borderId="7"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24" fillId="7" borderId="7" xfId="0" applyFont="1" applyFill="1" applyBorder="1" applyAlignment="1">
      <alignment horizontal="left" vertical="center" wrapText="1"/>
    </xf>
    <xf numFmtId="0" fontId="24" fillId="7" borderId="27" xfId="0" applyFont="1" applyFill="1" applyBorder="1" applyAlignment="1">
      <alignment horizontal="left" vertical="center" wrapText="1"/>
    </xf>
  </cellXfs>
  <cellStyles count="1045">
    <cellStyle name="Comma" xfId="774"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Normal" xfId="0" builtinId="0"/>
    <cellStyle name="Normal 2" xfId="2"/>
    <cellStyle name="Percent" xfId="1" builtinId="5"/>
    <cellStyle name="Percent 2" xfId="13"/>
    <cellStyle name="Percent 3" xfId="150"/>
    <cellStyle name="Percent 4" xfId="15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G19"/>
  <sheetViews>
    <sheetView tabSelected="1" workbookViewId="0">
      <selection activeCell="A9" sqref="A9"/>
    </sheetView>
  </sheetViews>
  <sheetFormatPr baseColWidth="10" defaultRowHeight="12" x14ac:dyDescent="0"/>
  <cols>
    <col min="1" max="1" width="19.83203125" style="49" customWidth="1"/>
    <col min="2" max="3" width="10.83203125" style="49"/>
    <col min="4" max="4" width="12.33203125" style="49" customWidth="1"/>
    <col min="5" max="16384" width="10.83203125" style="49"/>
  </cols>
  <sheetData>
    <row r="1" spans="1:7">
      <c r="D1" s="50" t="s">
        <v>46</v>
      </c>
    </row>
    <row r="2" spans="1:7">
      <c r="D2" s="56" t="s">
        <v>93</v>
      </c>
      <c r="E2" s="123"/>
      <c r="F2" s="123"/>
      <c r="G2" s="123"/>
    </row>
    <row r="4" spans="1:7">
      <c r="A4" s="124" t="s">
        <v>94</v>
      </c>
    </row>
    <row r="5" spans="1:7">
      <c r="A5" s="49" t="s">
        <v>95</v>
      </c>
      <c r="B5" s="125">
        <v>0.1</v>
      </c>
    </row>
    <row r="6" spans="1:7" ht="24">
      <c r="A6" s="126" t="s">
        <v>96</v>
      </c>
    </row>
    <row r="7" spans="1:7">
      <c r="A7" s="127" t="s">
        <v>72</v>
      </c>
      <c r="B7" s="125">
        <v>0.05</v>
      </c>
    </row>
    <row r="8" spans="1:7">
      <c r="A8" s="127" t="s">
        <v>295</v>
      </c>
      <c r="B8" s="125">
        <v>0.08</v>
      </c>
    </row>
    <row r="12" spans="1:7">
      <c r="D12" s="128"/>
    </row>
    <row r="19" spans="2:2">
      <c r="B19" s="129"/>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workbookViewId="0">
      <selection activeCell="B22" sqref="B22"/>
    </sheetView>
  </sheetViews>
  <sheetFormatPr baseColWidth="10" defaultColWidth="9.1640625" defaultRowHeight="12" x14ac:dyDescent="0"/>
  <cols>
    <col min="1" max="1" width="28" style="64" customWidth="1"/>
    <col min="2" max="11" width="10.5" style="64" customWidth="1"/>
    <col min="12" max="16384" width="9.1640625" style="64"/>
  </cols>
  <sheetData>
    <row r="1" spans="1:13">
      <c r="A1" s="73" t="s">
        <v>60</v>
      </c>
      <c r="B1" s="74">
        <v>1</v>
      </c>
      <c r="C1" s="74">
        <v>2</v>
      </c>
      <c r="D1" s="74">
        <v>3</v>
      </c>
      <c r="E1" s="74">
        <v>4</v>
      </c>
      <c r="F1" s="74">
        <v>5</v>
      </c>
      <c r="G1" s="74">
        <v>6</v>
      </c>
      <c r="H1" s="74">
        <v>7</v>
      </c>
      <c r="I1" s="74">
        <v>8</v>
      </c>
      <c r="J1" s="74">
        <v>9</v>
      </c>
      <c r="K1" s="74">
        <v>10</v>
      </c>
    </row>
    <row r="2" spans="1:13">
      <c r="A2" s="75" t="s">
        <v>61</v>
      </c>
      <c r="B2" s="76"/>
      <c r="C2" s="76"/>
      <c r="D2" s="76"/>
      <c r="E2" s="76"/>
      <c r="F2" s="76"/>
      <c r="G2" s="76"/>
      <c r="H2" s="76"/>
      <c r="I2" s="76"/>
      <c r="J2" s="76"/>
      <c r="K2" s="76"/>
    </row>
    <row r="3" spans="1:13" s="79" customFormat="1">
      <c r="A3" s="77" t="s">
        <v>62</v>
      </c>
      <c r="B3" s="78">
        <f>'CES1_Marges par activité agric'!$B$35</f>
        <v>73951.607351671191</v>
      </c>
      <c r="C3" s="85">
        <f>(D3-B3)/2+B3</f>
        <v>155743.57594794512</v>
      </c>
      <c r="D3" s="81">
        <f>'CES1_Marges par activité agric'!$D$35</f>
        <v>237535.54454421901</v>
      </c>
      <c r="E3" s="78">
        <f>'CES1_Marges par activité agric'!$D$35</f>
        <v>237535.54454421901</v>
      </c>
      <c r="F3" s="78">
        <f>'CES1_Marges par activité agric'!$D$35</f>
        <v>237535.54454421901</v>
      </c>
      <c r="G3" s="78">
        <f>'CES1_Marges par activité agric'!$D$35</f>
        <v>237535.54454421901</v>
      </c>
      <c r="H3" s="78">
        <f>'CES1_Marges par activité agric'!$D$35</f>
        <v>237535.54454421901</v>
      </c>
      <c r="I3" s="78">
        <f>'CES1_Marges par activité agric'!$D$35</f>
        <v>237535.54454421901</v>
      </c>
      <c r="J3" s="78">
        <f>'CES1_Marges par activité agric'!$D$35</f>
        <v>237535.54454421901</v>
      </c>
      <c r="K3" s="78">
        <f>'CES1_Marges par activité agric'!$D$35</f>
        <v>237535.54454421901</v>
      </c>
    </row>
    <row r="4" spans="1:13">
      <c r="A4" s="80" t="s">
        <v>37</v>
      </c>
      <c r="B4" s="81">
        <f>'CES1_Marges par activité agric'!$B$41</f>
        <v>0</v>
      </c>
      <c r="C4" s="85">
        <f>(D4-B4)/2+B4</f>
        <v>0</v>
      </c>
      <c r="D4" s="81">
        <f>'CES1_Marges par activité agric'!$D$41</f>
        <v>0</v>
      </c>
      <c r="E4" s="81">
        <f>'CES1_Marges par activité agric'!$D$41</f>
        <v>0</v>
      </c>
      <c r="F4" s="81">
        <f>'CES1_Marges par activité agric'!$D$41</f>
        <v>0</v>
      </c>
      <c r="G4" s="81">
        <f>'CES1_Marges par activité agric'!$D$41</f>
        <v>0</v>
      </c>
      <c r="H4" s="81">
        <f>'CES1_Marges par activité agric'!$D$41</f>
        <v>0</v>
      </c>
      <c r="I4" s="81">
        <f>'CES1_Marges par activité agric'!$D$41</f>
        <v>0</v>
      </c>
      <c r="J4" s="81">
        <f>'CES1_Marges par activité agric'!$D$41</f>
        <v>0</v>
      </c>
      <c r="K4" s="81">
        <f>'CES1_Marges par activité agric'!$D$41</f>
        <v>0</v>
      </c>
    </row>
    <row r="5" spans="1:13">
      <c r="A5" s="62"/>
      <c r="B5" s="81"/>
      <c r="C5" s="81"/>
      <c r="D5" s="188"/>
      <c r="E5" s="81"/>
      <c r="F5" s="81"/>
      <c r="G5" s="81"/>
      <c r="H5" s="81"/>
      <c r="I5" s="81"/>
      <c r="J5" s="81"/>
      <c r="K5" s="81"/>
    </row>
    <row r="6" spans="1:13">
      <c r="A6" s="75" t="s">
        <v>63</v>
      </c>
      <c r="B6" s="81"/>
      <c r="C6" s="81"/>
      <c r="D6" s="188"/>
      <c r="E6" s="81"/>
      <c r="F6" s="81"/>
      <c r="G6" s="81"/>
      <c r="H6" s="81"/>
      <c r="I6" s="81"/>
      <c r="J6" s="81"/>
      <c r="K6" s="81"/>
    </row>
    <row r="7" spans="1:13">
      <c r="A7" s="80" t="s">
        <v>112</v>
      </c>
      <c r="B7" s="81">
        <f>'CES1_Marges par activité agric'!B40</f>
        <v>0</v>
      </c>
      <c r="C7" s="85">
        <f>(D7-B7)/2+B7</f>
        <v>0</v>
      </c>
      <c r="D7" s="81">
        <f>'CES1_Marges par activité agric'!$D$40</f>
        <v>0</v>
      </c>
      <c r="E7" s="81">
        <f>'CES1_Marges par activité agric'!$D$40</f>
        <v>0</v>
      </c>
      <c r="F7" s="81">
        <f>'CES1_Marges par activité agric'!$D$40</f>
        <v>0</v>
      </c>
      <c r="G7" s="81">
        <f>'CES1_Marges par activité agric'!$D$40</f>
        <v>0</v>
      </c>
      <c r="H7" s="81">
        <f>'CES1_Marges par activité agric'!$D$40</f>
        <v>0</v>
      </c>
      <c r="I7" s="81">
        <f>'CES1_Marges par activité agric'!$D$40</f>
        <v>0</v>
      </c>
      <c r="J7" s="81">
        <f>'CES1_Marges par activité agric'!$D$40</f>
        <v>0</v>
      </c>
      <c r="K7" s="81">
        <f>'CES1_Marges par activité agric'!$D$40</f>
        <v>0</v>
      </c>
    </row>
    <row r="8" spans="1:13">
      <c r="A8" s="80" t="s">
        <v>64</v>
      </c>
      <c r="B8" s="81">
        <f>IF(C9-B9&gt;0, C9-B9*0.7, 0)</f>
        <v>26547.387320959406</v>
      </c>
      <c r="C8" s="81">
        <f t="shared" ref="C8:J8" si="0">IF(D9-C9&gt;0, D9-C9*0.7, 0)</f>
        <v>31702.151495889477</v>
      </c>
      <c r="D8" s="81">
        <f>IF(E9-D9&gt;0, E9-D9*0.7, 0)</f>
        <v>0</v>
      </c>
      <c r="E8" s="81">
        <f t="shared" si="0"/>
        <v>0</v>
      </c>
      <c r="F8" s="81">
        <f t="shared" si="0"/>
        <v>0</v>
      </c>
      <c r="G8" s="81">
        <f t="shared" si="0"/>
        <v>0</v>
      </c>
      <c r="H8" s="81">
        <f t="shared" si="0"/>
        <v>0</v>
      </c>
      <c r="I8" s="81">
        <f t="shared" si="0"/>
        <v>0</v>
      </c>
      <c r="J8" s="81">
        <f t="shared" si="0"/>
        <v>0</v>
      </c>
      <c r="K8" s="81">
        <f>-SUM(B8:J8)</f>
        <v>-58249.538816848886</v>
      </c>
    </row>
    <row r="9" spans="1:13">
      <c r="A9" s="80" t="s">
        <v>65</v>
      </c>
      <c r="B9" s="81">
        <f>'CES1_Marges par activité agric'!$B$36</f>
        <v>31216.133570641581</v>
      </c>
      <c r="C9" s="85">
        <f>(D9-B9)/2+B9</f>
        <v>48398.68082040851</v>
      </c>
      <c r="D9" s="81">
        <f>'CES1_Marges par activité agric'!$D$36</f>
        <v>65581.228070175435</v>
      </c>
      <c r="E9" s="81">
        <f>'CES1_Marges par activité agric'!$D$36</f>
        <v>65581.228070175435</v>
      </c>
      <c r="F9" s="81">
        <f>'CES1_Marges par activité agric'!$D$36</f>
        <v>65581.228070175435</v>
      </c>
      <c r="G9" s="81">
        <f>'CES1_Marges par activité agric'!$D$36</f>
        <v>65581.228070175435</v>
      </c>
      <c r="H9" s="81">
        <f>'CES1_Marges par activité agric'!$D$36</f>
        <v>65581.228070175435</v>
      </c>
      <c r="I9" s="81">
        <f>'CES1_Marges par activité agric'!$D$36</f>
        <v>65581.228070175435</v>
      </c>
      <c r="J9" s="81">
        <f>'CES1_Marges par activité agric'!$D$36</f>
        <v>65581.228070175435</v>
      </c>
      <c r="K9" s="81">
        <f>'CES1_Marges par activité agric'!$D$36</f>
        <v>65581.228070175435</v>
      </c>
    </row>
    <row r="10" spans="1:13">
      <c r="A10" s="82" t="s">
        <v>33</v>
      </c>
      <c r="B10" s="83">
        <f>'CES1_Marges par activité agric'!$B$38</f>
        <v>0</v>
      </c>
      <c r="C10" s="83">
        <f>(D10-B10)/2+B10</f>
        <v>0</v>
      </c>
      <c r="D10" s="83">
        <f>'CES1_Marges par activité agric'!$D$38</f>
        <v>0</v>
      </c>
      <c r="E10" s="90">
        <f>'CES1_Marges par activité agric'!$D$38</f>
        <v>0</v>
      </c>
      <c r="F10" s="90">
        <f>'CES1_Marges par activité agric'!$D$38</f>
        <v>0</v>
      </c>
      <c r="G10" s="90">
        <f>'CES1_Marges par activité agric'!$D$38</f>
        <v>0</v>
      </c>
      <c r="H10" s="90">
        <f>'CES1_Marges par activité agric'!$D$38</f>
        <v>0</v>
      </c>
      <c r="I10" s="90">
        <f>'CES1_Marges par activité agric'!$D$38</f>
        <v>0</v>
      </c>
      <c r="J10" s="90">
        <f>'CES1_Marges par activité agric'!$D$38</f>
        <v>0</v>
      </c>
      <c r="K10" s="90">
        <f>'CES1_Marges par activité agric'!$D$38</f>
        <v>0</v>
      </c>
      <c r="L10" s="91"/>
    </row>
    <row r="11" spans="1:13">
      <c r="A11" s="62"/>
      <c r="B11" s="84"/>
      <c r="C11" s="84"/>
      <c r="D11" s="84"/>
      <c r="E11" s="81"/>
      <c r="F11" s="81"/>
      <c r="G11" s="81"/>
      <c r="H11" s="81"/>
      <c r="I11" s="81"/>
      <c r="J11" s="81"/>
      <c r="K11" s="81"/>
      <c r="L11" s="91"/>
    </row>
    <row r="12" spans="1:13" ht="24">
      <c r="A12" s="92" t="s">
        <v>224</v>
      </c>
      <c r="B12" s="85">
        <f>SUM(B3:B4)-SUM(B7:B10)</f>
        <v>16188.086460070204</v>
      </c>
      <c r="C12" s="85">
        <f t="shared" ref="C12:K12" si="1">SUM(C3:C4)-SUM(C7:C10)</f>
        <v>75642.743631647143</v>
      </c>
      <c r="D12" s="85">
        <f t="shared" si="1"/>
        <v>171954.31647404359</v>
      </c>
      <c r="E12" s="85">
        <f t="shared" si="1"/>
        <v>171954.31647404359</v>
      </c>
      <c r="F12" s="85">
        <f t="shared" si="1"/>
        <v>171954.31647404359</v>
      </c>
      <c r="G12" s="85">
        <f t="shared" si="1"/>
        <v>171954.31647404359</v>
      </c>
      <c r="H12" s="85">
        <f t="shared" si="1"/>
        <v>171954.31647404359</v>
      </c>
      <c r="I12" s="85">
        <f t="shared" si="1"/>
        <v>171954.31647404359</v>
      </c>
      <c r="J12" s="85">
        <f t="shared" si="1"/>
        <v>171954.31647404359</v>
      </c>
      <c r="K12" s="85">
        <f t="shared" si="1"/>
        <v>230203.85529089248</v>
      </c>
      <c r="L12" s="91"/>
    </row>
    <row r="13" spans="1:13" ht="24">
      <c r="A13" s="92" t="s">
        <v>225</v>
      </c>
      <c r="B13" s="93">
        <f>'CES1_Agric sans aménagement CES'!B12</f>
        <v>42735.473781029606</v>
      </c>
      <c r="C13" s="93">
        <f>'CES1_Agric sans aménagement CES'!C12</f>
        <v>42783.220333124642</v>
      </c>
      <c r="D13" s="93">
        <f>'CES1_Agric sans aménagement CES'!D12</f>
        <v>42830.966885219677</v>
      </c>
      <c r="E13" s="93">
        <f>'CES1_Agric sans aménagement CES'!E12</f>
        <v>42830.966885219677</v>
      </c>
      <c r="F13" s="93">
        <f>'CES1_Agric sans aménagement CES'!F12</f>
        <v>42830.966885219677</v>
      </c>
      <c r="G13" s="93">
        <f>'CES1_Agric sans aménagement CES'!G12</f>
        <v>42830.966885219677</v>
      </c>
      <c r="H13" s="93">
        <f>'CES1_Agric sans aménagement CES'!H12</f>
        <v>42830.966885219677</v>
      </c>
      <c r="I13" s="93">
        <f>'CES1_Agric sans aménagement CES'!I12</f>
        <v>42830.966885219677</v>
      </c>
      <c r="J13" s="93">
        <f>'CES1_Agric sans aménagement CES'!J12</f>
        <v>42830.966885219677</v>
      </c>
      <c r="K13" s="93">
        <f>'CES1_Agric sans aménagement CES'!K12</f>
        <v>42830.966885219677</v>
      </c>
      <c r="L13" s="91"/>
    </row>
    <row r="14" spans="1:13">
      <c r="B14" s="94"/>
      <c r="C14" s="94"/>
      <c r="D14" s="94"/>
      <c r="E14" s="94"/>
      <c r="F14" s="94"/>
      <c r="G14" s="94"/>
      <c r="H14" s="94"/>
      <c r="I14" s="94"/>
      <c r="J14" s="94"/>
      <c r="K14" s="94"/>
      <c r="L14" s="91"/>
    </row>
    <row r="15" spans="1:13" ht="24">
      <c r="A15" s="100" t="s">
        <v>281</v>
      </c>
      <c r="B15" s="85">
        <f>B12-B13</f>
        <v>-26547.387320959402</v>
      </c>
      <c r="C15" s="85">
        <f>C12-C13</f>
        <v>32859.523298522501</v>
      </c>
      <c r="D15" s="85">
        <f t="shared" ref="D15:K15" si="2">D12-D13</f>
        <v>129123.34958882391</v>
      </c>
      <c r="E15" s="85">
        <f t="shared" si="2"/>
        <v>129123.34958882391</v>
      </c>
      <c r="F15" s="85">
        <f t="shared" si="2"/>
        <v>129123.34958882391</v>
      </c>
      <c r="G15" s="85">
        <f t="shared" si="2"/>
        <v>129123.34958882391</v>
      </c>
      <c r="H15" s="85">
        <f t="shared" si="2"/>
        <v>129123.34958882391</v>
      </c>
      <c r="I15" s="85">
        <f t="shared" si="2"/>
        <v>129123.34958882391</v>
      </c>
      <c r="J15" s="85">
        <f t="shared" si="2"/>
        <v>129123.34958882391</v>
      </c>
      <c r="K15" s="85">
        <f t="shared" si="2"/>
        <v>187372.8884056728</v>
      </c>
      <c r="L15" s="86"/>
      <c r="M15" s="94"/>
    </row>
    <row r="17" spans="1:5" ht="24">
      <c r="A17" s="95" t="s">
        <v>67</v>
      </c>
      <c r="B17" s="96">
        <f>NPV('Parametres economiques'!$B$5,'CES1_Agric avec aménagement CES'!B15:K15)</f>
        <v>594789.07229727367</v>
      </c>
      <c r="C17" s="97" t="s">
        <v>68</v>
      </c>
      <c r="E17" s="98" t="s">
        <v>69</v>
      </c>
    </row>
    <row r="18" spans="1:5">
      <c r="A18" s="86" t="s">
        <v>70</v>
      </c>
      <c r="B18" s="99">
        <f>IRR(B15:K15)</f>
        <v>2.3275108773082795</v>
      </c>
      <c r="E18" s="98" t="s">
        <v>71</v>
      </c>
    </row>
    <row r="19" spans="1:5">
      <c r="B19" s="89"/>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59999389629810485"/>
  </sheetPr>
  <dimension ref="A1:J41"/>
  <sheetViews>
    <sheetView workbookViewId="0">
      <selection activeCell="A3" sqref="A3"/>
    </sheetView>
  </sheetViews>
  <sheetFormatPr baseColWidth="10" defaultColWidth="11.5" defaultRowHeight="12" x14ac:dyDescent="0"/>
  <cols>
    <col min="1" max="1" width="22.1640625" style="49" customWidth="1"/>
    <col min="2" max="2" width="11.5" style="49"/>
    <col min="3" max="3" width="12.5" style="49" customWidth="1"/>
    <col min="4" max="5" width="11.5" style="49"/>
    <col min="6" max="6" width="12.5" style="49" customWidth="1"/>
    <col min="7" max="8" width="11.5" style="49"/>
    <col min="9" max="9" width="12.5" style="49" customWidth="1"/>
    <col min="10" max="16384" width="11.5" style="49"/>
  </cols>
  <sheetData>
    <row r="1" spans="1:10" ht="45">
      <c r="A1" s="14" t="str">
        <f>'Répartition des cultures'!D3</f>
        <v>CES 2 :_x000D_ terrassement, talutage, épis, fixation biologique</v>
      </c>
      <c r="B1" s="156" t="s">
        <v>217</v>
      </c>
      <c r="C1" s="48"/>
      <c r="D1" s="47"/>
      <c r="E1" s="48"/>
      <c r="F1" s="48"/>
      <c r="G1" s="47"/>
      <c r="H1" s="156" t="s">
        <v>218</v>
      </c>
      <c r="I1" s="48"/>
      <c r="J1" s="47"/>
    </row>
    <row r="2" spans="1:10">
      <c r="A2" s="47"/>
      <c r="B2" s="51"/>
      <c r="C2" s="52" t="s">
        <v>150</v>
      </c>
      <c r="D2" s="53"/>
      <c r="E2" s="51"/>
      <c r="F2" s="52" t="s">
        <v>115</v>
      </c>
      <c r="G2" s="53"/>
      <c r="H2" s="54"/>
      <c r="I2" s="256" t="s">
        <v>219</v>
      </c>
      <c r="J2" s="55"/>
    </row>
    <row r="3" spans="1:10" s="61" customFormat="1" ht="36">
      <c r="A3" s="57"/>
      <c r="B3" s="58" t="s">
        <v>47</v>
      </c>
      <c r="C3" s="58" t="s">
        <v>227</v>
      </c>
      <c r="D3" s="59" t="s">
        <v>226</v>
      </c>
      <c r="E3" s="58" t="s">
        <v>47</v>
      </c>
      <c r="F3" s="58" t="s">
        <v>227</v>
      </c>
      <c r="G3" s="59" t="s">
        <v>226</v>
      </c>
      <c r="H3" s="60" t="s">
        <v>47</v>
      </c>
      <c r="I3" s="60" t="s">
        <v>227</v>
      </c>
      <c r="J3" s="257" t="s">
        <v>226</v>
      </c>
    </row>
    <row r="4" spans="1:10" s="48" customFormat="1">
      <c r="A4" s="47" t="s">
        <v>220</v>
      </c>
      <c r="B4" s="159">
        <f>'Répartition des cultures'!D11*'Répartition des cultures'!B6</f>
        <v>0.56140350877192979</v>
      </c>
      <c r="C4" s="121">
        <f>B4</f>
        <v>0.56140350877192979</v>
      </c>
      <c r="D4" s="158">
        <f>'Répartition des cultures'!E11*'Répartition des cultures'!C6</f>
        <v>1.263157894736842</v>
      </c>
      <c r="E4" s="159">
        <f>'Répartition des cultures'!D12*'Répartition des cultures'!B6</f>
        <v>4.3508771929824563</v>
      </c>
      <c r="F4" s="121">
        <f>E4</f>
        <v>4.3508771929824563</v>
      </c>
      <c r="G4" s="158">
        <f>'Répartition des cultures'!E12*'Répartition des cultures'!C6</f>
        <v>6.4561403508771926</v>
      </c>
      <c r="H4" s="159">
        <f>'Parcours (lait et viande)'!C8</f>
        <v>1.3</v>
      </c>
      <c r="I4" s="249">
        <f>H4*(1+(2.4-1.3)/1.3)</f>
        <v>2.4</v>
      </c>
      <c r="J4" s="158">
        <f>'Parcours (lait et viande)'!C8</f>
        <v>1.3</v>
      </c>
    </row>
    <row r="5" spans="1:10" s="48" customFormat="1">
      <c r="A5" s="47" t="s">
        <v>248</v>
      </c>
      <c r="B5" s="180">
        <f>CES2_Abricot!C9</f>
        <v>16.428571428571427</v>
      </c>
      <c r="C5" s="182">
        <f>B5</f>
        <v>16.428571428571427</v>
      </c>
      <c r="D5" s="181">
        <f>CES2_Abricot!H9</f>
        <v>25</v>
      </c>
      <c r="E5" s="180">
        <f>CES2_Olivier!C9</f>
        <v>1.2733686067019401</v>
      </c>
      <c r="F5" s="182">
        <f>E5</f>
        <v>1.2733686067019401</v>
      </c>
      <c r="G5" s="181">
        <f>CES2_Olivier!H9</f>
        <v>2</v>
      </c>
      <c r="H5" s="166"/>
      <c r="I5" s="166"/>
      <c r="J5" s="167"/>
    </row>
    <row r="6" spans="1:10" s="48" customFormat="1">
      <c r="A6" s="47" t="s">
        <v>249</v>
      </c>
      <c r="B6" s="121">
        <f>B4*B5</f>
        <v>9.2230576441102752</v>
      </c>
      <c r="C6" s="121">
        <f t="shared" ref="C6:G6" si="0">C4*C5</f>
        <v>9.2230576441102752</v>
      </c>
      <c r="D6" s="122">
        <f t="shared" si="0"/>
        <v>31.578947368421051</v>
      </c>
      <c r="E6" s="121">
        <f t="shared" si="0"/>
        <v>5.5402704291593183</v>
      </c>
      <c r="F6" s="121">
        <f t="shared" si="0"/>
        <v>5.5402704291593183</v>
      </c>
      <c r="G6" s="122">
        <f t="shared" si="0"/>
        <v>12.912280701754385</v>
      </c>
      <c r="H6" s="166"/>
      <c r="I6" s="166"/>
      <c r="J6" s="167"/>
    </row>
    <row r="7" spans="1:10">
      <c r="A7" s="47" t="s">
        <v>250</v>
      </c>
      <c r="B7" s="163">
        <f>CES2_Abricot!C10</f>
        <v>27928.571428571428</v>
      </c>
      <c r="C7" s="164">
        <f>B7</f>
        <v>27928.571428571428</v>
      </c>
      <c r="D7" s="165">
        <f>CES2_Abricot!H10</f>
        <v>42500</v>
      </c>
      <c r="E7" s="163">
        <f>CES2_Olivier!C10</f>
        <v>16553.791887125222</v>
      </c>
      <c r="F7" s="164">
        <f>E7</f>
        <v>16553.791887125222</v>
      </c>
      <c r="G7" s="165">
        <f>CES2_Olivier!H10</f>
        <v>26000</v>
      </c>
      <c r="H7" s="166"/>
      <c r="I7" s="166"/>
      <c r="J7" s="167"/>
    </row>
    <row r="8" spans="1:10">
      <c r="A8" s="47" t="s">
        <v>253</v>
      </c>
      <c r="B8" s="166"/>
      <c r="C8" s="166"/>
      <c r="D8" s="167"/>
      <c r="E8" s="166"/>
      <c r="F8" s="166"/>
      <c r="G8" s="167"/>
      <c r="H8" s="163">
        <f>'Parcours (lait et viande)'!C7</f>
        <v>4.6035805626598467E-2</v>
      </c>
      <c r="I8" s="164">
        <f>H8</f>
        <v>4.6035805626598467E-2</v>
      </c>
      <c r="J8" s="165">
        <f>'Parcours (lait et viande)'!H7</f>
        <v>4.6035805626598467E-2</v>
      </c>
    </row>
    <row r="9" spans="1:10" ht="24">
      <c r="A9" s="157" t="s">
        <v>261</v>
      </c>
      <c r="B9" s="166"/>
      <c r="C9" s="166"/>
      <c r="D9" s="167"/>
      <c r="E9" s="166"/>
      <c r="F9" s="166"/>
      <c r="G9" s="167"/>
      <c r="H9" s="255">
        <f>'Parcours (lait et viande)'!C9</f>
        <v>1325</v>
      </c>
      <c r="I9" s="164">
        <f t="shared" ref="I9:I12" si="1">H9</f>
        <v>1325</v>
      </c>
      <c r="J9" s="255">
        <f>'Parcours (lait et viande)'!H9</f>
        <v>1457.5000000000002</v>
      </c>
    </row>
    <row r="10" spans="1:10" s="64" customFormat="1">
      <c r="A10" s="157" t="s">
        <v>263</v>
      </c>
      <c r="B10" s="166"/>
      <c r="C10" s="166"/>
      <c r="D10" s="167"/>
      <c r="E10" s="166"/>
      <c r="F10" s="166"/>
      <c r="G10" s="167"/>
      <c r="H10" s="163">
        <f>'Parcours (lait et viande)'!C10</f>
        <v>1</v>
      </c>
      <c r="I10" s="164">
        <f t="shared" si="1"/>
        <v>1</v>
      </c>
      <c r="J10" s="163">
        <f>'Parcours (lait et viande)'!H10</f>
        <v>1</v>
      </c>
    </row>
    <row r="11" spans="1:10" s="64" customFormat="1" ht="24">
      <c r="A11" s="157" t="s">
        <v>262</v>
      </c>
      <c r="B11" s="166"/>
      <c r="C11" s="166"/>
      <c r="D11" s="167"/>
      <c r="E11" s="166"/>
      <c r="F11" s="166"/>
      <c r="G11" s="167"/>
      <c r="H11" s="255">
        <f>'Parcours (lait et viande)'!C11</f>
        <v>37.383177570093459</v>
      </c>
      <c r="I11" s="164">
        <f t="shared" si="1"/>
        <v>37.383177570093459</v>
      </c>
      <c r="J11" s="255">
        <f>'Parcours (lait et viande)'!H11</f>
        <v>41.121495327102807</v>
      </c>
    </row>
    <row r="12" spans="1:10" s="64" customFormat="1" ht="24">
      <c r="A12" s="157" t="s">
        <v>264</v>
      </c>
      <c r="B12" s="166"/>
      <c r="C12" s="166"/>
      <c r="D12" s="167"/>
      <c r="E12" s="166"/>
      <c r="F12" s="166"/>
      <c r="G12" s="167"/>
      <c r="H12" s="163">
        <f>'Parcours (lait et viande)'!C12</f>
        <v>15</v>
      </c>
      <c r="I12" s="164">
        <f t="shared" si="1"/>
        <v>15</v>
      </c>
      <c r="J12" s="163">
        <f>'Parcours (lait et viande)'!H12</f>
        <v>15</v>
      </c>
    </row>
    <row r="13" spans="1:10" s="183" customFormat="1" ht="24">
      <c r="A13" s="157" t="s">
        <v>221</v>
      </c>
      <c r="B13" s="163">
        <f>CES2_Abricot!C11</f>
        <v>5760</v>
      </c>
      <c r="C13" s="164">
        <f>B13</f>
        <v>5760</v>
      </c>
      <c r="D13" s="165">
        <f>CES2_Abricot!H11</f>
        <v>0</v>
      </c>
      <c r="E13" s="166"/>
      <c r="F13" s="166"/>
      <c r="G13" s="167"/>
      <c r="H13" s="166"/>
      <c r="I13" s="166"/>
      <c r="J13" s="167"/>
    </row>
    <row r="14" spans="1:10" s="64" customFormat="1">
      <c r="A14" s="63" t="s">
        <v>222</v>
      </c>
      <c r="B14" s="168">
        <f>B7*B4+B13</f>
        <v>21439.197994987466</v>
      </c>
      <c r="C14" s="168">
        <f t="shared" ref="C14:G14" si="2">C7*C4+C13</f>
        <v>21439.197994987466</v>
      </c>
      <c r="D14" s="169">
        <f t="shared" si="2"/>
        <v>53684.210526315786</v>
      </c>
      <c r="E14" s="168">
        <f t="shared" si="2"/>
        <v>72023.515579071143</v>
      </c>
      <c r="F14" s="168">
        <f t="shared" si="2"/>
        <v>72023.515579071143</v>
      </c>
      <c r="G14" s="169">
        <f t="shared" si="2"/>
        <v>167859.64912280702</v>
      </c>
      <c r="H14" s="168">
        <f>(H12*H11+H10*H9)*H8*H4</f>
        <v>112.85548677008389</v>
      </c>
      <c r="I14" s="168">
        <f t="shared" ref="I14:J14" si="3">(I12*I11+I10*I9)*I8*I4</f>
        <v>208.34859096015487</v>
      </c>
      <c r="J14" s="169">
        <f t="shared" si="3"/>
        <v>124.14103544709232</v>
      </c>
    </row>
    <row r="15" spans="1:10" s="64" customFormat="1">
      <c r="A15" s="62"/>
      <c r="B15" s="121"/>
      <c r="C15" s="121"/>
      <c r="D15" s="122"/>
      <c r="E15" s="121"/>
      <c r="F15" s="121"/>
      <c r="G15" s="122"/>
      <c r="H15" s="121"/>
      <c r="I15" s="121"/>
      <c r="J15" s="122"/>
    </row>
    <row r="16" spans="1:10" s="64" customFormat="1">
      <c r="A16" s="62" t="s">
        <v>48</v>
      </c>
      <c r="B16" s="163">
        <f>SUM(CES2_Abricot!C14*CES2_Abricot!C15, CES2_Abricot!C16*CES2_Abricot!C17, CES2_Abricot!C19, CES2_Abricot!C21, CES2_Abricot!C23)</f>
        <v>240</v>
      </c>
      <c r="C16" s="164">
        <f t="shared" ref="C16:C22" si="4">B16</f>
        <v>240</v>
      </c>
      <c r="D16" s="165">
        <f>SUM(CES2_Abricot!H14*CES2_Abricot!H15, CES2_Abricot!H16*CES2_Abricot!H17, CES2_Abricot!H19, CES2_Abricot!H21, CES2_Abricot!H23)</f>
        <v>240</v>
      </c>
      <c r="E16" s="163">
        <f>SUM(CES2_Olivier!C14*CES2_Olivier!C15, CES2_Olivier!C16*CES2_Olivier!C17, CES2_Olivier!C19, CES2_Olivier!C21, CES2_Olivier!C23)</f>
        <v>965</v>
      </c>
      <c r="F16" s="164">
        <f t="shared" ref="F16:F22" si="5">E16</f>
        <v>965</v>
      </c>
      <c r="G16" s="165">
        <f>SUM(CES2_Olivier!H14*CES2_Olivier!H15, CES2_Olivier!H16*CES2_Olivier!H17, CES2_Olivier!H19, CES2_Olivier!H21, CES2_Olivier!H23)</f>
        <v>965</v>
      </c>
      <c r="H16" s="166"/>
      <c r="I16" s="166"/>
      <c r="J16" s="167"/>
    </row>
    <row r="17" spans="1:10" s="64" customFormat="1">
      <c r="A17" s="62" t="s">
        <v>223</v>
      </c>
      <c r="B17" s="163">
        <f>CES2_Abricot!C25*CES2_Abricot!C26</f>
        <v>780</v>
      </c>
      <c r="C17" s="164">
        <f t="shared" si="4"/>
        <v>780</v>
      </c>
      <c r="D17" s="165">
        <f>CES2_Abricot!H25*CES2_Abricot!H26</f>
        <v>780</v>
      </c>
      <c r="E17" s="163">
        <f>CES2_Olivier!C25*CES2_Olivier!C26</f>
        <v>300</v>
      </c>
      <c r="F17" s="164">
        <f t="shared" si="5"/>
        <v>300</v>
      </c>
      <c r="G17" s="165">
        <f>CES2_Olivier!H25*CES2_Olivier!H26</f>
        <v>300</v>
      </c>
      <c r="H17" s="166"/>
      <c r="I17" s="166"/>
      <c r="J17" s="167"/>
    </row>
    <row r="18" spans="1:10">
      <c r="A18" s="62" t="s">
        <v>49</v>
      </c>
      <c r="B18" s="163">
        <f>CES2_Abricot!C29+CES2_Abricot!C31+CES2_Abricot!C33</f>
        <v>322</v>
      </c>
      <c r="C18" s="164">
        <f t="shared" si="4"/>
        <v>322</v>
      </c>
      <c r="D18" s="165">
        <f>CES2_Abricot!H29+CES2_Abricot!H31+CES2_Abricot!H33</f>
        <v>322</v>
      </c>
      <c r="E18" s="163">
        <f>CES2_Olivier!C29+CES2_Olivier!C31+CES2_Olivier!C33</f>
        <v>322</v>
      </c>
      <c r="F18" s="164">
        <f t="shared" si="5"/>
        <v>322</v>
      </c>
      <c r="G18" s="165">
        <f>CES2_Olivier!H29+CES2_Olivier!H31+CES2_Olivier!H33</f>
        <v>322</v>
      </c>
      <c r="H18" s="166"/>
      <c r="I18" s="166"/>
      <c r="J18" s="167"/>
    </row>
    <row r="19" spans="1:10" ht="24">
      <c r="A19" s="65" t="s">
        <v>50</v>
      </c>
      <c r="B19" s="163">
        <f>CES2_Abricot!C36+CES2_Abricot!C38+CES2_Abricot!C40</f>
        <v>0</v>
      </c>
      <c r="C19" s="164">
        <f t="shared" si="4"/>
        <v>0</v>
      </c>
      <c r="D19" s="165">
        <f>CES2_Abricot!H36</f>
        <v>0</v>
      </c>
      <c r="E19" s="163">
        <f>CES2_Olivier!C36+CES2_Olivier!C38+CES2_Olivier!C40</f>
        <v>0</v>
      </c>
      <c r="F19" s="164">
        <f t="shared" si="5"/>
        <v>0</v>
      </c>
      <c r="G19" s="165">
        <f>CES2_Olivier!H36+CES2_Olivier!H38+CES2_Olivier!H40</f>
        <v>0</v>
      </c>
      <c r="H19" s="166"/>
      <c r="I19" s="166"/>
      <c r="J19" s="167"/>
    </row>
    <row r="20" spans="1:10">
      <c r="A20" s="62" t="s">
        <v>51</v>
      </c>
      <c r="B20" s="163">
        <f>CES2_Abricot!C43</f>
        <v>1869</v>
      </c>
      <c r="C20" s="164">
        <f t="shared" si="4"/>
        <v>1869</v>
      </c>
      <c r="D20" s="165">
        <f>CES2_Abricot!H43</f>
        <v>1869</v>
      </c>
      <c r="E20" s="163">
        <f>CES2_Olivier!C43</f>
        <v>390</v>
      </c>
      <c r="F20" s="164">
        <f t="shared" si="5"/>
        <v>390</v>
      </c>
      <c r="G20" s="165">
        <f>CES2_Olivier!H43</f>
        <v>390</v>
      </c>
      <c r="H20" s="166"/>
      <c r="I20" s="166"/>
      <c r="J20" s="167"/>
    </row>
    <row r="21" spans="1:10">
      <c r="A21" s="62" t="s">
        <v>52</v>
      </c>
      <c r="B21" s="163">
        <f>CES2_Abricot!C46+CES2_Abricot!C47*8*CES2_Abricot!C48+CES2_Abricot!C49*340*8*CES2_Abricot!C50</f>
        <v>250</v>
      </c>
      <c r="C21" s="164">
        <f t="shared" si="4"/>
        <v>250</v>
      </c>
      <c r="D21" s="165">
        <f>CES2_Abricot!H46+CES2_Abricot!H47*8*CES2_Abricot!H48+CES2_Abricot!H49*340*8*CES2_Abricot!H50</f>
        <v>250</v>
      </c>
      <c r="E21" s="163">
        <f>CES2_Olivier!C46+CES2_Olivier!C47*8*CES2_Olivier!C48+CES2_Olivier!C49*340*8*CES2_Olivier!C50</f>
        <v>250</v>
      </c>
      <c r="F21" s="164">
        <f t="shared" si="5"/>
        <v>250</v>
      </c>
      <c r="G21" s="165">
        <f>CES2_Olivier!H46+CES2_Olivier!H47*8*CES2_Olivier!H48+CES2_Olivier!H49*340*8*CES2_Olivier!H50</f>
        <v>250</v>
      </c>
      <c r="H21" s="166"/>
      <c r="I21" s="166"/>
      <c r="J21" s="167"/>
    </row>
    <row r="22" spans="1:10">
      <c r="A22" s="62" t="s">
        <v>53</v>
      </c>
      <c r="B22" s="163">
        <f>SUM(CES2_Abricot!C52:C53,CES2_Abricot!C55:C57)</f>
        <v>0</v>
      </c>
      <c r="C22" s="164">
        <f t="shared" si="4"/>
        <v>0</v>
      </c>
      <c r="D22" s="165">
        <f>SUM(CES2_Abricot!H52:H53,CES2_Abricot!H55:H57)</f>
        <v>0</v>
      </c>
      <c r="E22" s="163">
        <f>SUM(CES2_Olivier!C52:C53,CES2_Olivier!C55:C57)</f>
        <v>636</v>
      </c>
      <c r="F22" s="164">
        <f t="shared" si="5"/>
        <v>636</v>
      </c>
      <c r="G22" s="165">
        <f>SUM(CES2_Olivier!E52:H53,CES2_Olivier!E55:H57)</f>
        <v>636</v>
      </c>
      <c r="H22" s="166"/>
      <c r="I22" s="166"/>
      <c r="J22" s="167"/>
    </row>
    <row r="23" spans="1:10">
      <c r="A23" s="66" t="s">
        <v>54</v>
      </c>
      <c r="B23" s="164">
        <f>SUM(B16:B22)</f>
        <v>3461</v>
      </c>
      <c r="C23" s="164">
        <f t="shared" ref="C23:G23" si="6">SUM(C16:C22)</f>
        <v>3461</v>
      </c>
      <c r="D23" s="170">
        <f t="shared" si="6"/>
        <v>3461</v>
      </c>
      <c r="E23" s="164">
        <f t="shared" si="6"/>
        <v>2863</v>
      </c>
      <c r="F23" s="164">
        <f t="shared" si="6"/>
        <v>2863</v>
      </c>
      <c r="G23" s="170">
        <f t="shared" si="6"/>
        <v>2863</v>
      </c>
      <c r="H23" s="166"/>
      <c r="I23" s="166"/>
      <c r="J23" s="167"/>
    </row>
    <row r="24" spans="1:10" s="124" customFormat="1">
      <c r="A24" s="67" t="s">
        <v>55</v>
      </c>
      <c r="B24" s="168">
        <f>B4*B23</f>
        <v>1943.0175438596491</v>
      </c>
      <c r="C24" s="168">
        <f t="shared" ref="C24:F24" si="7">C4*C23</f>
        <v>1943.0175438596491</v>
      </c>
      <c r="D24" s="169">
        <f t="shared" si="7"/>
        <v>4371.78947368421</v>
      </c>
      <c r="E24" s="168">
        <f t="shared" si="7"/>
        <v>12456.561403508773</v>
      </c>
      <c r="F24" s="168">
        <f t="shared" si="7"/>
        <v>12456.561403508773</v>
      </c>
      <c r="G24" s="169">
        <f>G4*G23</f>
        <v>18483.929824561401</v>
      </c>
      <c r="H24" s="251"/>
      <c r="I24" s="251"/>
      <c r="J24" s="252"/>
    </row>
    <row r="25" spans="1:10">
      <c r="A25" s="47"/>
      <c r="B25" s="121"/>
      <c r="C25" s="121"/>
      <c r="D25" s="122"/>
      <c r="E25" s="121"/>
      <c r="F25" s="121"/>
      <c r="G25" s="122"/>
      <c r="H25" s="121"/>
      <c r="I25" s="121"/>
      <c r="J25" s="122"/>
    </row>
    <row r="26" spans="1:10">
      <c r="A26" s="68" t="s">
        <v>56</v>
      </c>
      <c r="B26" s="171">
        <f>B14-B24</f>
        <v>19496.180451127817</v>
      </c>
      <c r="C26" s="171">
        <f>C14-C24</f>
        <v>19496.180451127817</v>
      </c>
      <c r="D26" s="172">
        <f t="shared" ref="D26:J26" si="8">D14-D24</f>
        <v>49312.421052631573</v>
      </c>
      <c r="E26" s="171">
        <f t="shared" si="8"/>
        <v>59566.954175562372</v>
      </c>
      <c r="F26" s="171">
        <f t="shared" si="8"/>
        <v>59566.954175562372</v>
      </c>
      <c r="G26" s="172">
        <f>G14-G24</f>
        <v>149375.71929824562</v>
      </c>
      <c r="H26" s="171">
        <f t="shared" si="8"/>
        <v>112.85548677008389</v>
      </c>
      <c r="I26" s="171">
        <f t="shared" si="8"/>
        <v>208.34859096015487</v>
      </c>
      <c r="J26" s="172">
        <f t="shared" si="8"/>
        <v>124.14103544709232</v>
      </c>
    </row>
    <row r="27" spans="1:10">
      <c r="A27" s="47"/>
      <c r="B27" s="160"/>
      <c r="C27" s="161"/>
      <c r="D27" s="162"/>
      <c r="E27" s="160"/>
      <c r="F27" s="161"/>
      <c r="G27" s="162"/>
      <c r="H27" s="160"/>
      <c r="I27" s="161"/>
      <c r="J27" s="162"/>
    </row>
    <row r="28" spans="1:10">
      <c r="A28" s="63" t="s">
        <v>33</v>
      </c>
      <c r="B28" s="185">
        <f>CES2_Abricot!C54</f>
        <v>0</v>
      </c>
      <c r="C28" s="168">
        <f>B28</f>
        <v>0</v>
      </c>
      <c r="D28" s="184">
        <f>CES2_Abricot!H54</f>
        <v>0</v>
      </c>
      <c r="E28" s="185">
        <f>CES2_Olivier!C54</f>
        <v>0</v>
      </c>
      <c r="F28" s="168">
        <f>E28</f>
        <v>0</v>
      </c>
      <c r="G28" s="184">
        <f>CES2_Olivier!H54</f>
        <v>0</v>
      </c>
      <c r="H28" s="251"/>
      <c r="I28" s="251"/>
      <c r="J28" s="252"/>
    </row>
    <row r="29" spans="1:10" s="61" customFormat="1">
      <c r="A29" s="258" t="s">
        <v>110</v>
      </c>
      <c r="B29" s="253"/>
      <c r="C29" s="253"/>
      <c r="D29" s="254"/>
      <c r="E29" s="253"/>
      <c r="F29" s="253"/>
      <c r="G29" s="254"/>
      <c r="H29" s="253"/>
      <c r="I29" s="253"/>
      <c r="J29" s="254"/>
    </row>
    <row r="30" spans="1:10" ht="36">
      <c r="A30" s="69" t="s">
        <v>111</v>
      </c>
      <c r="B30" s="185">
        <f>SUM(CES2_Abricot!C59:C60)</f>
        <v>0</v>
      </c>
      <c r="C30" s="186">
        <v>0</v>
      </c>
      <c r="D30" s="184">
        <f>SUM(CES2_Abricot!H59:H60)</f>
        <v>0</v>
      </c>
      <c r="E30" s="185">
        <f>SUM(CES2_Olivier!C59:C60)</f>
        <v>0</v>
      </c>
      <c r="F30" s="186">
        <v>0</v>
      </c>
      <c r="G30" s="184">
        <f>SUM(CES2_Olivier!E59:H60)</f>
        <v>0</v>
      </c>
      <c r="H30" s="251"/>
      <c r="I30" s="253"/>
      <c r="J30" s="252"/>
    </row>
    <row r="34" spans="1:10" ht="36">
      <c r="A34" s="57"/>
      <c r="B34" s="70" t="s">
        <v>47</v>
      </c>
      <c r="C34" s="58" t="s">
        <v>227</v>
      </c>
      <c r="D34" s="59" t="s">
        <v>226</v>
      </c>
      <c r="E34" s="61"/>
      <c r="F34" s="61"/>
      <c r="G34" s="61"/>
      <c r="H34" s="61"/>
      <c r="I34" s="61"/>
      <c r="J34" s="61"/>
    </row>
    <row r="35" spans="1:10" ht="24">
      <c r="A35" s="66" t="s">
        <v>57</v>
      </c>
      <c r="B35" s="173">
        <f>B14+E14+H14</f>
        <v>93575.569060828697</v>
      </c>
      <c r="C35" s="173">
        <f>C14+F14+I14</f>
        <v>93671.062165018768</v>
      </c>
      <c r="D35" s="174">
        <f>D14+G14+J14</f>
        <v>221668.00068456991</v>
      </c>
    </row>
    <row r="36" spans="1:10" ht="24">
      <c r="A36" s="71" t="s">
        <v>113</v>
      </c>
      <c r="B36" s="175">
        <f>B24+E24+H24</f>
        <v>14399.578947368422</v>
      </c>
      <c r="C36" s="175">
        <f t="shared" ref="C36:D36" si="9">C24+F24+I24</f>
        <v>14399.578947368422</v>
      </c>
      <c r="D36" s="176">
        <f t="shared" si="9"/>
        <v>22855.719298245611</v>
      </c>
    </row>
    <row r="37" spans="1:10">
      <c r="A37" s="66" t="s">
        <v>58</v>
      </c>
      <c r="B37" s="173">
        <f>B35-B36</f>
        <v>79175.99011346027</v>
      </c>
      <c r="C37" s="173">
        <f t="shared" ref="C37" si="10">C35-C36</f>
        <v>79271.483217650341</v>
      </c>
      <c r="D37" s="174">
        <f>D35-D36</f>
        <v>198812.28138632429</v>
      </c>
    </row>
    <row r="38" spans="1:10">
      <c r="A38" s="71" t="s">
        <v>33</v>
      </c>
      <c r="B38" s="175">
        <f>SUM(B28,E28,H28)</f>
        <v>0</v>
      </c>
      <c r="C38" s="175">
        <f t="shared" ref="C38:D38" si="11">SUM(C28,F28,I28)</f>
        <v>0</v>
      </c>
      <c r="D38" s="176">
        <f t="shared" si="11"/>
        <v>0</v>
      </c>
    </row>
    <row r="39" spans="1:10">
      <c r="A39" s="72" t="s">
        <v>59</v>
      </c>
      <c r="B39" s="177">
        <f>B37-B38</f>
        <v>79175.99011346027</v>
      </c>
      <c r="C39" s="177">
        <f t="shared" ref="C39:D39" si="12">C37-C38</f>
        <v>79271.483217650341</v>
      </c>
      <c r="D39" s="178">
        <f t="shared" si="12"/>
        <v>198812.28138632429</v>
      </c>
    </row>
    <row r="40" spans="1:10">
      <c r="A40" s="66" t="s">
        <v>66</v>
      </c>
      <c r="B40" s="179">
        <f>SUM(B29,E29,H29)</f>
        <v>0</v>
      </c>
      <c r="C40" s="173">
        <f t="shared" ref="C40:D41" si="13">SUM(C29,F29,I29)</f>
        <v>0</v>
      </c>
      <c r="D40" s="174">
        <f t="shared" si="13"/>
        <v>0</v>
      </c>
    </row>
    <row r="41" spans="1:10">
      <c r="A41" s="66" t="s">
        <v>37</v>
      </c>
      <c r="B41" s="179">
        <f>SUM(B30,E30,H30)</f>
        <v>0</v>
      </c>
      <c r="C41" s="173">
        <f t="shared" si="13"/>
        <v>0</v>
      </c>
      <c r="D41" s="174">
        <f t="shared" si="13"/>
        <v>0</v>
      </c>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C3" sqref="C3"/>
    </sheetView>
  </sheetViews>
  <sheetFormatPr baseColWidth="10" defaultColWidth="9.1640625" defaultRowHeight="12" x14ac:dyDescent="0"/>
  <cols>
    <col min="1" max="1" width="28" style="64" customWidth="1"/>
    <col min="2" max="11" width="10.5" style="64" customWidth="1"/>
    <col min="12" max="16384" width="9.1640625" style="64"/>
  </cols>
  <sheetData>
    <row r="1" spans="1:12">
      <c r="A1" s="73" t="s">
        <v>60</v>
      </c>
      <c r="B1" s="74">
        <v>1</v>
      </c>
      <c r="C1" s="74">
        <v>2</v>
      </c>
      <c r="D1" s="74">
        <v>3</v>
      </c>
      <c r="E1" s="74">
        <v>4</v>
      </c>
      <c r="F1" s="74">
        <v>5</v>
      </c>
      <c r="G1" s="74">
        <v>6</v>
      </c>
      <c r="H1" s="74">
        <v>7</v>
      </c>
      <c r="I1" s="74">
        <v>8</v>
      </c>
      <c r="J1" s="74">
        <v>9</v>
      </c>
      <c r="K1" s="74">
        <v>10</v>
      </c>
    </row>
    <row r="2" spans="1:12">
      <c r="A2" s="75" t="s">
        <v>61</v>
      </c>
      <c r="B2" s="76"/>
      <c r="C2" s="76"/>
      <c r="D2" s="76"/>
      <c r="E2" s="76"/>
      <c r="F2" s="76"/>
      <c r="G2" s="76"/>
      <c r="H2" s="76"/>
      <c r="I2" s="76"/>
      <c r="J2" s="76"/>
      <c r="K2" s="76"/>
    </row>
    <row r="3" spans="1:12" s="79" customFormat="1">
      <c r="A3" s="77" t="s">
        <v>62</v>
      </c>
      <c r="B3" s="78">
        <f>'CES2_Marges par activité agric'!$B$35</f>
        <v>93575.569060828697</v>
      </c>
      <c r="C3" s="187">
        <f>(D3-B3)/2+B3</f>
        <v>93623.315612923732</v>
      </c>
      <c r="D3" s="78">
        <f>'CES2_Marges par activité agric'!$C$35</f>
        <v>93671.062165018768</v>
      </c>
      <c r="E3" s="78">
        <f>'CES2_Marges par activité agric'!$C$35</f>
        <v>93671.062165018768</v>
      </c>
      <c r="F3" s="78">
        <f>'CES2_Marges par activité agric'!$C$35</f>
        <v>93671.062165018768</v>
      </c>
      <c r="G3" s="78">
        <f>'CES2_Marges par activité agric'!$C$35</f>
        <v>93671.062165018768</v>
      </c>
      <c r="H3" s="78">
        <f>'CES2_Marges par activité agric'!$C$35</f>
        <v>93671.062165018768</v>
      </c>
      <c r="I3" s="78">
        <f>'CES2_Marges par activité agric'!$C$35</f>
        <v>93671.062165018768</v>
      </c>
      <c r="J3" s="78">
        <f>'CES2_Marges par activité agric'!$C$35</f>
        <v>93671.062165018768</v>
      </c>
      <c r="K3" s="78">
        <f>'CES2_Marges par activité agric'!$C$35</f>
        <v>93671.062165018768</v>
      </c>
    </row>
    <row r="4" spans="1:12">
      <c r="A4" s="80" t="s">
        <v>37</v>
      </c>
      <c r="B4" s="81">
        <f>'CES2_Marges par activité agric'!$B$41</f>
        <v>0</v>
      </c>
      <c r="C4" s="85">
        <f>(D4-B4)/2+B4</f>
        <v>0</v>
      </c>
      <c r="D4" s="81">
        <f>'CES2_Marges par activité agric'!$C$41</f>
        <v>0</v>
      </c>
      <c r="E4" s="81">
        <f>'CES2_Marges par activité agric'!$C$41</f>
        <v>0</v>
      </c>
      <c r="F4" s="81">
        <f>'CES2_Marges par activité agric'!$C$41</f>
        <v>0</v>
      </c>
      <c r="G4" s="81">
        <f>'CES2_Marges par activité agric'!$C$41</f>
        <v>0</v>
      </c>
      <c r="H4" s="81">
        <f>'CES2_Marges par activité agric'!$C$41</f>
        <v>0</v>
      </c>
      <c r="I4" s="81">
        <f>'CES2_Marges par activité agric'!$C$41</f>
        <v>0</v>
      </c>
      <c r="J4" s="81">
        <f>'CES2_Marges par activité agric'!$C$41</f>
        <v>0</v>
      </c>
      <c r="K4" s="81">
        <f>'CES2_Marges par activité agric'!$C$41</f>
        <v>0</v>
      </c>
    </row>
    <row r="5" spans="1:12">
      <c r="A5" s="62"/>
      <c r="B5" s="81"/>
      <c r="C5" s="81"/>
      <c r="D5" s="81"/>
      <c r="E5" s="81"/>
      <c r="F5" s="81"/>
      <c r="G5" s="81"/>
      <c r="H5" s="81"/>
      <c r="I5" s="81"/>
      <c r="J5" s="81"/>
      <c r="K5" s="81"/>
    </row>
    <row r="6" spans="1:12">
      <c r="A6" s="75" t="s">
        <v>63</v>
      </c>
      <c r="B6" s="81"/>
      <c r="C6" s="81"/>
      <c r="D6" s="81"/>
      <c r="E6" s="81"/>
      <c r="F6" s="81"/>
      <c r="G6" s="81"/>
      <c r="H6" s="81"/>
      <c r="I6" s="81"/>
      <c r="J6" s="81"/>
      <c r="K6" s="81"/>
    </row>
    <row r="7" spans="1:12">
      <c r="A7" s="80" t="s">
        <v>112</v>
      </c>
      <c r="B7" s="81">
        <f>'CES2_Marges par activité agric'!$B$40</f>
        <v>0</v>
      </c>
      <c r="C7" s="85">
        <f>(D7-B7)/2+B7</f>
        <v>0</v>
      </c>
      <c r="D7" s="81">
        <f>'CES2_Marges par activité agric'!$C$40</f>
        <v>0</v>
      </c>
      <c r="E7" s="81">
        <f>'CES2_Marges par activité agric'!$C$40</f>
        <v>0</v>
      </c>
      <c r="F7" s="81">
        <f>'CES2_Marges par activité agric'!$C$40</f>
        <v>0</v>
      </c>
      <c r="G7" s="81">
        <f>'CES2_Marges par activité agric'!$C$40</f>
        <v>0</v>
      </c>
      <c r="H7" s="81">
        <f>'CES2_Marges par activité agric'!$C$40</f>
        <v>0</v>
      </c>
      <c r="I7" s="81">
        <f>'CES2_Marges par activité agric'!$C$40</f>
        <v>0</v>
      </c>
      <c r="J7" s="81">
        <f>'CES2_Marges par activité agric'!$C$40</f>
        <v>0</v>
      </c>
      <c r="K7" s="81">
        <f>'CES2_Marges par activité agric'!$C$40</f>
        <v>0</v>
      </c>
    </row>
    <row r="8" spans="1:12">
      <c r="A8" s="80" t="s">
        <v>64</v>
      </c>
      <c r="B8" s="81">
        <f>(C9-B9)*0.7</f>
        <v>0</v>
      </c>
      <c r="C8" s="81">
        <f t="shared" ref="C8:J8" si="0">(D9-C9)*0.7</f>
        <v>0</v>
      </c>
      <c r="D8" s="81">
        <f t="shared" si="0"/>
        <v>0</v>
      </c>
      <c r="E8" s="81">
        <f t="shared" si="0"/>
        <v>0</v>
      </c>
      <c r="F8" s="81">
        <f t="shared" si="0"/>
        <v>0</v>
      </c>
      <c r="G8" s="81">
        <f t="shared" si="0"/>
        <v>0</v>
      </c>
      <c r="H8" s="81">
        <f t="shared" si="0"/>
        <v>0</v>
      </c>
      <c r="I8" s="81">
        <f t="shared" si="0"/>
        <v>0</v>
      </c>
      <c r="J8" s="81">
        <f t="shared" si="0"/>
        <v>0</v>
      </c>
      <c r="K8" s="81">
        <f>-SUM(B8:J8)</f>
        <v>0</v>
      </c>
    </row>
    <row r="9" spans="1:12">
      <c r="A9" s="80" t="s">
        <v>65</v>
      </c>
      <c r="B9" s="81">
        <f>'CES2_Marges par activité agric'!$B$36</f>
        <v>14399.578947368422</v>
      </c>
      <c r="C9" s="85">
        <f>(D9-B9)/2+B9</f>
        <v>14399.578947368422</v>
      </c>
      <c r="D9" s="81">
        <f>'CES2_Marges par activité agric'!$C$36</f>
        <v>14399.578947368422</v>
      </c>
      <c r="E9" s="81">
        <f>'CES2_Marges par activité agric'!$C$36</f>
        <v>14399.578947368422</v>
      </c>
      <c r="F9" s="81">
        <f>'CES2_Marges par activité agric'!$C$36</f>
        <v>14399.578947368422</v>
      </c>
      <c r="G9" s="81">
        <f>'CES2_Marges par activité agric'!$C$36</f>
        <v>14399.578947368422</v>
      </c>
      <c r="H9" s="81">
        <f>'CES2_Marges par activité agric'!$C$36</f>
        <v>14399.578947368422</v>
      </c>
      <c r="I9" s="81">
        <f>'CES2_Marges par activité agric'!$C$36</f>
        <v>14399.578947368422</v>
      </c>
      <c r="J9" s="81">
        <f>'CES2_Marges par activité agric'!$C$36</f>
        <v>14399.578947368422</v>
      </c>
      <c r="K9" s="81">
        <f>'CES2_Marges par activité agric'!$C$36</f>
        <v>14399.578947368422</v>
      </c>
    </row>
    <row r="10" spans="1:12">
      <c r="A10" s="80" t="s">
        <v>33</v>
      </c>
      <c r="B10" s="81">
        <f>'CES2_Marges par activité agric'!$B$38</f>
        <v>0</v>
      </c>
      <c r="C10" s="85">
        <f>(D10-B10)/2+B10</f>
        <v>0</v>
      </c>
      <c r="D10" s="81">
        <f>'CES2_Marges par activité agric'!$C$38</f>
        <v>0</v>
      </c>
      <c r="E10" s="81">
        <f>'CES2_Marges par activité agric'!$C$38</f>
        <v>0</v>
      </c>
      <c r="F10" s="81">
        <f>'CES2_Marges par activité agric'!$C$38</f>
        <v>0</v>
      </c>
      <c r="G10" s="81">
        <f>'CES2_Marges par activité agric'!$C$38</f>
        <v>0</v>
      </c>
      <c r="H10" s="81">
        <f>'CES2_Marges par activité agric'!$C$38</f>
        <v>0</v>
      </c>
      <c r="I10" s="81">
        <f>'CES2_Marges par activité agric'!$C$38</f>
        <v>0</v>
      </c>
      <c r="J10" s="81">
        <f>'CES2_Marges par activité agric'!$C$38</f>
        <v>0</v>
      </c>
      <c r="K10" s="81">
        <f>'CES2_Marges par activité agric'!$C$38</f>
        <v>0</v>
      </c>
    </row>
    <row r="11" spans="1:12">
      <c r="A11" s="62"/>
      <c r="B11" s="84"/>
      <c r="C11" s="84"/>
      <c r="D11" s="84"/>
      <c r="E11" s="84"/>
      <c r="F11" s="84"/>
      <c r="G11" s="84"/>
      <c r="H11" s="84"/>
      <c r="I11" s="84"/>
      <c r="J11" s="84"/>
      <c r="K11" s="84"/>
    </row>
    <row r="12" spans="1:12" ht="24">
      <c r="A12" s="100" t="s">
        <v>225</v>
      </c>
      <c r="B12" s="85">
        <f t="shared" ref="B12:K12" si="1">SUM(B2:B4)-SUM(B6:B10)</f>
        <v>79175.99011346027</v>
      </c>
      <c r="C12" s="85">
        <f t="shared" si="1"/>
        <v>79223.736665555305</v>
      </c>
      <c r="D12" s="85">
        <f t="shared" si="1"/>
        <v>79271.483217650341</v>
      </c>
      <c r="E12" s="85">
        <f t="shared" si="1"/>
        <v>79271.483217650341</v>
      </c>
      <c r="F12" s="85">
        <f t="shared" si="1"/>
        <v>79271.483217650341</v>
      </c>
      <c r="G12" s="85">
        <f t="shared" si="1"/>
        <v>79271.483217650341</v>
      </c>
      <c r="H12" s="85">
        <f t="shared" si="1"/>
        <v>79271.483217650341</v>
      </c>
      <c r="I12" s="85">
        <f t="shared" si="1"/>
        <v>79271.483217650341</v>
      </c>
      <c r="J12" s="85">
        <f t="shared" si="1"/>
        <v>79271.483217650341</v>
      </c>
      <c r="K12" s="85">
        <f t="shared" si="1"/>
        <v>79271.483217650341</v>
      </c>
      <c r="L12" s="86"/>
    </row>
    <row r="13" spans="1:12">
      <c r="A13" s="87"/>
      <c r="B13" s="88"/>
      <c r="C13" s="88"/>
      <c r="D13" s="88"/>
      <c r="E13" s="88"/>
      <c r="F13" s="88"/>
      <c r="G13" s="88"/>
      <c r="H13" s="88"/>
      <c r="I13" s="88"/>
      <c r="J13" s="88"/>
      <c r="K13" s="88"/>
    </row>
    <row r="20" spans="2:2">
      <c r="B20" s="89"/>
    </row>
    <row r="26" spans="2:2" s="79" customForma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workbookViewId="0">
      <selection activeCell="B21" sqref="B21"/>
    </sheetView>
  </sheetViews>
  <sheetFormatPr baseColWidth="10" defaultColWidth="9.1640625" defaultRowHeight="12" x14ac:dyDescent="0"/>
  <cols>
    <col min="1" max="1" width="28" style="64" customWidth="1"/>
    <col min="2" max="11" width="10.5" style="64" customWidth="1"/>
    <col min="12" max="16384" width="9.1640625" style="64"/>
  </cols>
  <sheetData>
    <row r="1" spans="1:12">
      <c r="A1" s="73" t="s">
        <v>60</v>
      </c>
      <c r="B1" s="74">
        <v>1</v>
      </c>
      <c r="C1" s="74">
        <v>2</v>
      </c>
      <c r="D1" s="74">
        <v>3</v>
      </c>
      <c r="E1" s="74">
        <v>4</v>
      </c>
      <c r="F1" s="74">
        <v>5</v>
      </c>
      <c r="G1" s="74">
        <v>6</v>
      </c>
      <c r="H1" s="74">
        <v>7</v>
      </c>
      <c r="I1" s="74">
        <v>8</v>
      </c>
      <c r="J1" s="74">
        <v>9</v>
      </c>
      <c r="K1" s="74">
        <v>10</v>
      </c>
    </row>
    <row r="2" spans="1:12">
      <c r="A2" s="75" t="s">
        <v>61</v>
      </c>
      <c r="B2" s="76"/>
      <c r="C2" s="76"/>
      <c r="D2" s="76"/>
      <c r="E2" s="76"/>
      <c r="F2" s="76"/>
      <c r="G2" s="76"/>
      <c r="H2" s="76"/>
      <c r="I2" s="76"/>
      <c r="J2" s="76"/>
      <c r="K2" s="76"/>
    </row>
    <row r="3" spans="1:12" s="79" customFormat="1">
      <c r="A3" s="77" t="s">
        <v>62</v>
      </c>
      <c r="B3" s="78">
        <f>'CES2_Marges par activité agric'!$B$35</f>
        <v>93575.569060828697</v>
      </c>
      <c r="C3" s="85">
        <f>(D3-B3)/2+B3</f>
        <v>157621.7848726993</v>
      </c>
      <c r="D3" s="85">
        <f>'CES2_Marges par activité agric'!$D$35</f>
        <v>221668.00068456991</v>
      </c>
      <c r="E3" s="78">
        <f>'CES2_Marges par activité agric'!$D$35</f>
        <v>221668.00068456991</v>
      </c>
      <c r="F3" s="78">
        <f>'CES2_Marges par activité agric'!$D$35</f>
        <v>221668.00068456991</v>
      </c>
      <c r="G3" s="78">
        <f>'CES2_Marges par activité agric'!$D$35</f>
        <v>221668.00068456991</v>
      </c>
      <c r="H3" s="78">
        <f>'CES2_Marges par activité agric'!$D$35</f>
        <v>221668.00068456991</v>
      </c>
      <c r="I3" s="78">
        <f>'CES2_Marges par activité agric'!$D$35</f>
        <v>221668.00068456991</v>
      </c>
      <c r="J3" s="78">
        <f>'CES2_Marges par activité agric'!$D$35</f>
        <v>221668.00068456991</v>
      </c>
      <c r="K3" s="78">
        <f>'CES2_Marges par activité agric'!$D$35</f>
        <v>221668.00068456991</v>
      </c>
    </row>
    <row r="4" spans="1:12">
      <c r="A4" s="80" t="s">
        <v>37</v>
      </c>
      <c r="B4" s="81">
        <f>'CES2_Marges par activité agric'!$B$41</f>
        <v>0</v>
      </c>
      <c r="C4" s="85">
        <f>(D4-B4)/2+B4</f>
        <v>0</v>
      </c>
      <c r="D4" s="81">
        <f>'CES2_Marges par activité agric'!$D$41</f>
        <v>0</v>
      </c>
      <c r="E4" s="81">
        <f>'CES2_Marges par activité agric'!$D$41</f>
        <v>0</v>
      </c>
      <c r="F4" s="81">
        <f>'CES2_Marges par activité agric'!$D$41</f>
        <v>0</v>
      </c>
      <c r="G4" s="81">
        <f>'CES2_Marges par activité agric'!$D$41</f>
        <v>0</v>
      </c>
      <c r="H4" s="81">
        <f>'CES2_Marges par activité agric'!$D$41</f>
        <v>0</v>
      </c>
      <c r="I4" s="81">
        <f>'CES2_Marges par activité agric'!$D$41</f>
        <v>0</v>
      </c>
      <c r="J4" s="81">
        <f>'CES2_Marges par activité agric'!$D$41</f>
        <v>0</v>
      </c>
      <c r="K4" s="81">
        <f>'CES2_Marges par activité agric'!$D$41</f>
        <v>0</v>
      </c>
    </row>
    <row r="5" spans="1:12">
      <c r="A5" s="62"/>
      <c r="B5" s="81"/>
      <c r="C5" s="81"/>
      <c r="D5" s="188"/>
      <c r="E5" s="81"/>
      <c r="F5" s="81"/>
      <c r="G5" s="81"/>
      <c r="H5" s="81"/>
      <c r="I5" s="81"/>
      <c r="J5" s="81"/>
      <c r="K5" s="81"/>
    </row>
    <row r="6" spans="1:12">
      <c r="A6" s="75" t="s">
        <v>63</v>
      </c>
      <c r="B6" s="81"/>
      <c r="C6" s="81"/>
      <c r="D6" s="188"/>
      <c r="E6" s="81"/>
      <c r="F6" s="81"/>
      <c r="G6" s="81"/>
      <c r="H6" s="81"/>
      <c r="I6" s="81"/>
      <c r="J6" s="81"/>
      <c r="K6" s="81"/>
    </row>
    <row r="7" spans="1:12">
      <c r="A7" s="80" t="s">
        <v>112</v>
      </c>
      <c r="B7" s="81">
        <f>'CES2_Marges par activité agric'!B40</f>
        <v>0</v>
      </c>
      <c r="C7" s="85">
        <f>(D7-B7)/2+B7</f>
        <v>0</v>
      </c>
      <c r="D7" s="81">
        <f>'CES2_Marges par activité agric'!$D$40</f>
        <v>0</v>
      </c>
      <c r="E7" s="81">
        <f>'CES2_Marges par activité agric'!$D$40</f>
        <v>0</v>
      </c>
      <c r="F7" s="81">
        <f>'CES2_Marges par activité agric'!$D$40</f>
        <v>0</v>
      </c>
      <c r="G7" s="81">
        <f>'CES2_Marges par activité agric'!$D$40</f>
        <v>0</v>
      </c>
      <c r="H7" s="81">
        <f>'CES2_Marges par activité agric'!$D$40</f>
        <v>0</v>
      </c>
      <c r="I7" s="81">
        <f>'CES2_Marges par activité agric'!$D$40</f>
        <v>0</v>
      </c>
      <c r="J7" s="81">
        <f>'CES2_Marges par activité agric'!$D$40</f>
        <v>0</v>
      </c>
      <c r="K7" s="81">
        <f>'CES2_Marges par activité agric'!$D$40</f>
        <v>0</v>
      </c>
    </row>
    <row r="8" spans="1:12">
      <c r="A8" s="80" t="s">
        <v>64</v>
      </c>
      <c r="B8" s="81">
        <f>IF(C9-B9&gt;0, C9-B9*0.7, 0)</f>
        <v>8547.94385964912</v>
      </c>
      <c r="C8" s="81">
        <f t="shared" ref="C8:J8" si="0">IF(D9-C9&gt;0, D9-C9*0.7, 0)</f>
        <v>9816.3649122807001</v>
      </c>
      <c r="D8" s="81">
        <f>IF(E9-D9&gt;0, E9-D9*0.7, 0)</f>
        <v>0</v>
      </c>
      <c r="E8" s="81">
        <f t="shared" si="0"/>
        <v>0</v>
      </c>
      <c r="F8" s="81">
        <f t="shared" si="0"/>
        <v>0</v>
      </c>
      <c r="G8" s="81">
        <f t="shared" si="0"/>
        <v>0</v>
      </c>
      <c r="H8" s="81">
        <f t="shared" si="0"/>
        <v>0</v>
      </c>
      <c r="I8" s="81">
        <f t="shared" si="0"/>
        <v>0</v>
      </c>
      <c r="J8" s="81">
        <f t="shared" si="0"/>
        <v>0</v>
      </c>
      <c r="K8" s="81">
        <f>-SUM(B8:J8)</f>
        <v>-18364.30877192982</v>
      </c>
    </row>
    <row r="9" spans="1:12">
      <c r="A9" s="80" t="s">
        <v>65</v>
      </c>
      <c r="B9" s="81">
        <f>'CES2_Marges par activité agric'!$B$36</f>
        <v>14399.578947368422</v>
      </c>
      <c r="C9" s="85">
        <f>(D9-B9)/2+B9</f>
        <v>18627.649122807015</v>
      </c>
      <c r="D9" s="81">
        <f>'CES2_Marges par activité agric'!$D$36</f>
        <v>22855.719298245611</v>
      </c>
      <c r="E9" s="81">
        <f>'CES2_Marges par activité agric'!$D$36</f>
        <v>22855.719298245611</v>
      </c>
      <c r="F9" s="81">
        <f>'CES2_Marges par activité agric'!$D$36</f>
        <v>22855.719298245611</v>
      </c>
      <c r="G9" s="81">
        <f>'CES2_Marges par activité agric'!$D$36</f>
        <v>22855.719298245611</v>
      </c>
      <c r="H9" s="81">
        <f>'CES2_Marges par activité agric'!$D$36</f>
        <v>22855.719298245611</v>
      </c>
      <c r="I9" s="81">
        <f>'CES2_Marges par activité agric'!$D$36</f>
        <v>22855.719298245611</v>
      </c>
      <c r="J9" s="81">
        <f>'CES2_Marges par activité agric'!$D$36</f>
        <v>22855.719298245611</v>
      </c>
      <c r="K9" s="81">
        <f>'CES2_Marges par activité agric'!$D$36</f>
        <v>22855.719298245611</v>
      </c>
    </row>
    <row r="10" spans="1:12">
      <c r="A10" s="82" t="s">
        <v>33</v>
      </c>
      <c r="B10" s="83">
        <f>'CES2_Marges par activité agric'!$B$38</f>
        <v>0</v>
      </c>
      <c r="C10" s="83">
        <f>(D10-B10)/2+B10</f>
        <v>0</v>
      </c>
      <c r="D10" s="83">
        <f>'CES2_Marges par activité agric'!$D$38</f>
        <v>0</v>
      </c>
      <c r="E10" s="90">
        <f>'CES2_Marges par activité agric'!$D$38</f>
        <v>0</v>
      </c>
      <c r="F10" s="90">
        <f>'CES2_Marges par activité agric'!$D$38</f>
        <v>0</v>
      </c>
      <c r="G10" s="90">
        <f>'CES2_Marges par activité agric'!$D$38</f>
        <v>0</v>
      </c>
      <c r="H10" s="90">
        <f>'CES2_Marges par activité agric'!$D$38</f>
        <v>0</v>
      </c>
      <c r="I10" s="90">
        <f>'CES2_Marges par activité agric'!$D$38</f>
        <v>0</v>
      </c>
      <c r="J10" s="90">
        <f>'CES2_Marges par activité agric'!$D$38</f>
        <v>0</v>
      </c>
      <c r="K10" s="90">
        <f>'CES2_Marges par activité agric'!$D$38</f>
        <v>0</v>
      </c>
      <c r="L10" s="91"/>
    </row>
    <row r="11" spans="1:12">
      <c r="A11" s="62"/>
      <c r="B11" s="84"/>
      <c r="C11" s="84"/>
      <c r="D11" s="84"/>
      <c r="E11" s="81"/>
      <c r="F11" s="81"/>
      <c r="G11" s="81"/>
      <c r="H11" s="81"/>
      <c r="I11" s="81"/>
      <c r="J11" s="81"/>
      <c r="K11" s="81"/>
      <c r="L11" s="91"/>
    </row>
    <row r="12" spans="1:12" ht="24">
      <c r="A12" s="92" t="s">
        <v>224</v>
      </c>
      <c r="B12" s="85">
        <f>SUM(B3:B4)-SUM(B7:B10)</f>
        <v>70628.046253811161</v>
      </c>
      <c r="C12" s="85">
        <f t="shared" ref="C12:K12" si="1">SUM(C3:C4)-SUM(C7:C10)</f>
        <v>129177.77083761158</v>
      </c>
      <c r="D12" s="85">
        <f t="shared" si="1"/>
        <v>198812.28138632429</v>
      </c>
      <c r="E12" s="85">
        <f t="shared" si="1"/>
        <v>198812.28138632429</v>
      </c>
      <c r="F12" s="85">
        <f t="shared" si="1"/>
        <v>198812.28138632429</v>
      </c>
      <c r="G12" s="85">
        <f t="shared" si="1"/>
        <v>198812.28138632429</v>
      </c>
      <c r="H12" s="85">
        <f t="shared" si="1"/>
        <v>198812.28138632429</v>
      </c>
      <c r="I12" s="85">
        <f t="shared" si="1"/>
        <v>198812.28138632429</v>
      </c>
      <c r="J12" s="85">
        <f t="shared" si="1"/>
        <v>198812.28138632429</v>
      </c>
      <c r="K12" s="85">
        <f t="shared" si="1"/>
        <v>217176.59015825411</v>
      </c>
      <c r="L12" s="91"/>
    </row>
    <row r="13" spans="1:12" ht="24">
      <c r="A13" s="92" t="s">
        <v>225</v>
      </c>
      <c r="B13" s="93">
        <f>'CES2_Agric sans aménagement CES'!B12</f>
        <v>79175.99011346027</v>
      </c>
      <c r="C13" s="93">
        <f>'CES2_Agric sans aménagement CES'!C12</f>
        <v>79223.736665555305</v>
      </c>
      <c r="D13" s="93">
        <f>'CES2_Agric sans aménagement CES'!D12</f>
        <v>79271.483217650341</v>
      </c>
      <c r="E13" s="93">
        <f>'CES2_Agric sans aménagement CES'!E12</f>
        <v>79271.483217650341</v>
      </c>
      <c r="F13" s="93">
        <f>'CES2_Agric sans aménagement CES'!F12</f>
        <v>79271.483217650341</v>
      </c>
      <c r="G13" s="93">
        <f>'CES2_Agric sans aménagement CES'!G12</f>
        <v>79271.483217650341</v>
      </c>
      <c r="H13" s="93">
        <f>'CES2_Agric sans aménagement CES'!H12</f>
        <v>79271.483217650341</v>
      </c>
      <c r="I13" s="93">
        <f>'CES2_Agric sans aménagement CES'!I12</f>
        <v>79271.483217650341</v>
      </c>
      <c r="J13" s="93">
        <f>'CES2_Agric sans aménagement CES'!J12</f>
        <v>79271.483217650341</v>
      </c>
      <c r="K13" s="93">
        <f>'CES2_Agric sans aménagement CES'!K12</f>
        <v>79271.483217650341</v>
      </c>
      <c r="L13" s="91"/>
    </row>
    <row r="14" spans="1:12">
      <c r="B14" s="94"/>
      <c r="C14" s="94"/>
      <c r="D14" s="94"/>
      <c r="E14" s="94"/>
      <c r="F14" s="94"/>
      <c r="G14" s="94"/>
      <c r="H14" s="94"/>
      <c r="I14" s="94"/>
      <c r="J14" s="94"/>
      <c r="K14" s="94"/>
      <c r="L14" s="91"/>
    </row>
    <row r="15" spans="1:12" ht="24">
      <c r="A15" s="100" t="s">
        <v>281</v>
      </c>
      <c r="B15" s="85">
        <f>B12-B13</f>
        <v>-8547.9438596491091</v>
      </c>
      <c r="C15" s="85">
        <f>C12-C13</f>
        <v>49954.034172056272</v>
      </c>
      <c r="D15" s="85">
        <f t="shared" ref="D15:K15" si="2">D12-D13</f>
        <v>119540.79816867395</v>
      </c>
      <c r="E15" s="85">
        <f t="shared" si="2"/>
        <v>119540.79816867395</v>
      </c>
      <c r="F15" s="85">
        <f t="shared" si="2"/>
        <v>119540.79816867395</v>
      </c>
      <c r="G15" s="85">
        <f t="shared" si="2"/>
        <v>119540.79816867395</v>
      </c>
      <c r="H15" s="85">
        <f t="shared" si="2"/>
        <v>119540.79816867395</v>
      </c>
      <c r="I15" s="85">
        <f t="shared" si="2"/>
        <v>119540.79816867395</v>
      </c>
      <c r="J15" s="85">
        <f t="shared" si="2"/>
        <v>119540.79816867395</v>
      </c>
      <c r="K15" s="85">
        <f t="shared" si="2"/>
        <v>137905.10694060376</v>
      </c>
      <c r="L15" s="86"/>
    </row>
    <row r="17" spans="1:5" ht="24">
      <c r="A17" s="95" t="s">
        <v>67</v>
      </c>
      <c r="B17" s="96">
        <f>NPV('Parametres economiques'!$B$5,'CES2_Agric avec aménagement CES'!B15:K15)</f>
        <v>567652.65898285212</v>
      </c>
      <c r="C17" s="97" t="s">
        <v>68</v>
      </c>
      <c r="E17" s="98" t="s">
        <v>69</v>
      </c>
    </row>
    <row r="18" spans="1:5">
      <c r="A18" s="86" t="s">
        <v>70</v>
      </c>
      <c r="B18" s="99">
        <f>IRR(B15:K15)</f>
        <v>6.8774131780686103</v>
      </c>
      <c r="E18" s="98" t="s">
        <v>71</v>
      </c>
    </row>
    <row r="19" spans="1:5">
      <c r="B19" s="89"/>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8" tint="-0.249977111117893"/>
  </sheetPr>
  <dimension ref="A1:L53"/>
  <sheetViews>
    <sheetView topLeftCell="A14" workbookViewId="0">
      <selection activeCell="A17" sqref="A17"/>
    </sheetView>
  </sheetViews>
  <sheetFormatPr baseColWidth="10" defaultRowHeight="15" x14ac:dyDescent="0"/>
  <cols>
    <col min="1" max="1" width="24" style="11" customWidth="1"/>
    <col min="2" max="2" width="17.1640625" style="20" customWidth="1"/>
    <col min="3" max="3" width="13.1640625" style="112" customWidth="1"/>
    <col min="4" max="5" width="10.83203125" style="112" customWidth="1"/>
    <col min="6" max="6" width="17.83203125" style="112" customWidth="1"/>
    <col min="7" max="7" width="19.6640625" style="113" customWidth="1"/>
    <col min="8" max="8" width="13.1640625" style="4" customWidth="1"/>
    <col min="9" max="10" width="10.83203125" style="4"/>
    <col min="11" max="11" width="17.83203125" style="112" customWidth="1"/>
    <col min="12" max="12" width="27.1640625" style="113" customWidth="1"/>
    <col min="13" max="16384" width="10.83203125" style="4"/>
  </cols>
  <sheetData>
    <row r="1" spans="1:12" s="1" customFormat="1">
      <c r="A1" s="2" t="s">
        <v>6</v>
      </c>
      <c r="B1" s="19"/>
      <c r="G1" s="111"/>
      <c r="L1" s="111"/>
    </row>
    <row r="2" spans="1:12">
      <c r="A2" s="3"/>
    </row>
    <row r="3" spans="1:12">
      <c r="C3" s="41" t="s">
        <v>202</v>
      </c>
      <c r="D3" s="28"/>
      <c r="E3" s="28"/>
      <c r="F3" s="38"/>
      <c r="G3" s="190"/>
      <c r="H3" s="29" t="s">
        <v>201</v>
      </c>
      <c r="I3" s="114"/>
      <c r="J3" s="114"/>
      <c r="K3" s="114"/>
      <c r="L3" s="115"/>
    </row>
    <row r="4" spans="1:12" s="9" customFormat="1" ht="91" thickBot="1">
      <c r="A4" s="139" t="s">
        <v>0</v>
      </c>
      <c r="B4" s="140" t="s">
        <v>1</v>
      </c>
      <c r="C4" s="5" t="s">
        <v>2</v>
      </c>
      <c r="D4" s="5" t="s">
        <v>3</v>
      </c>
      <c r="E4" s="5" t="s">
        <v>4</v>
      </c>
      <c r="F4" s="5" t="s">
        <v>92</v>
      </c>
      <c r="G4" s="6" t="s">
        <v>5</v>
      </c>
      <c r="H4" s="7" t="s">
        <v>2</v>
      </c>
      <c r="I4" s="7" t="s">
        <v>3</v>
      </c>
      <c r="J4" s="7" t="s">
        <v>4</v>
      </c>
      <c r="K4" s="7" t="s">
        <v>92</v>
      </c>
      <c r="L4" s="8" t="s">
        <v>5</v>
      </c>
    </row>
    <row r="5" spans="1:12" s="9" customFormat="1" ht="127" customHeight="1">
      <c r="A5" s="116" t="s">
        <v>160</v>
      </c>
      <c r="B5" s="14" t="s">
        <v>236</v>
      </c>
      <c r="C5" s="15"/>
      <c r="D5" s="15"/>
      <c r="E5" s="15"/>
      <c r="F5" s="15"/>
      <c r="G5" s="297" t="s">
        <v>247</v>
      </c>
      <c r="H5" s="117"/>
      <c r="I5" s="117"/>
      <c r="J5" s="117"/>
      <c r="K5" s="117"/>
      <c r="L5" s="299"/>
    </row>
    <row r="6" spans="1:12" s="9" customFormat="1" ht="16" thickBot="1">
      <c r="A6" s="118" t="s">
        <v>40</v>
      </c>
      <c r="B6" s="17" t="s">
        <v>159</v>
      </c>
      <c r="C6" s="18"/>
      <c r="D6" s="18"/>
      <c r="E6" s="18"/>
      <c r="F6" s="18"/>
      <c r="G6" s="298"/>
      <c r="H6" s="119"/>
      <c r="I6" s="119"/>
      <c r="J6" s="119"/>
      <c r="K6" s="119"/>
      <c r="L6" s="300"/>
    </row>
    <row r="7" spans="1:12" ht="60">
      <c r="A7" s="141" t="s">
        <v>270</v>
      </c>
      <c r="B7" s="130" t="s">
        <v>284</v>
      </c>
      <c r="C7" s="286">
        <f>377*10^6</f>
        <v>377000000</v>
      </c>
      <c r="D7" s="289"/>
      <c r="E7" s="289"/>
      <c r="F7" s="241"/>
      <c r="G7" s="241"/>
      <c r="H7" s="287">
        <f>C7</f>
        <v>377000000</v>
      </c>
      <c r="I7" s="288"/>
      <c r="J7" s="288"/>
      <c r="K7" s="293"/>
      <c r="L7" s="293"/>
    </row>
    <row r="8" spans="1:12" ht="75">
      <c r="A8" s="141" t="s">
        <v>245</v>
      </c>
      <c r="B8" s="130" t="s">
        <v>284</v>
      </c>
      <c r="C8" s="286">
        <f>169*10^6</f>
        <v>169000000</v>
      </c>
      <c r="D8" s="289"/>
      <c r="E8" s="289"/>
      <c r="F8" s="241"/>
      <c r="G8" s="241"/>
      <c r="H8" s="288">
        <f>C8</f>
        <v>169000000</v>
      </c>
      <c r="I8" s="288"/>
      <c r="J8" s="288"/>
      <c r="K8" s="293"/>
      <c r="L8" s="293" t="s">
        <v>283</v>
      </c>
    </row>
    <row r="9" spans="1:12" ht="30">
      <c r="A9" s="141" t="s">
        <v>271</v>
      </c>
      <c r="B9" s="130" t="s">
        <v>244</v>
      </c>
      <c r="C9" s="247">
        <v>0.21</v>
      </c>
      <c r="D9" s="32"/>
      <c r="E9" s="32"/>
      <c r="F9" s="241"/>
      <c r="G9" s="241"/>
      <c r="H9" s="248">
        <f>C9</f>
        <v>0.21</v>
      </c>
      <c r="I9" s="34"/>
      <c r="J9" s="34"/>
      <c r="K9" s="293"/>
      <c r="L9" s="293"/>
    </row>
    <row r="10" spans="1:12" ht="90">
      <c r="A10" s="141" t="s">
        <v>272</v>
      </c>
      <c r="B10" s="130" t="s">
        <v>244</v>
      </c>
      <c r="C10" s="247">
        <v>0.02</v>
      </c>
      <c r="D10" s="32"/>
      <c r="E10" s="32"/>
      <c r="F10" s="241" t="s">
        <v>287</v>
      </c>
      <c r="G10" s="241"/>
      <c r="H10" s="248">
        <v>0.01</v>
      </c>
      <c r="I10" s="34"/>
      <c r="J10" s="34"/>
      <c r="K10" s="293"/>
      <c r="L10" s="293" t="s">
        <v>269</v>
      </c>
    </row>
    <row r="11" spans="1:12" ht="210">
      <c r="A11" s="141" t="s">
        <v>246</v>
      </c>
      <c r="B11" s="130" t="s">
        <v>285</v>
      </c>
      <c r="C11" s="153">
        <v>0.04</v>
      </c>
      <c r="D11" s="32"/>
      <c r="E11" s="32"/>
      <c r="F11" s="241"/>
      <c r="G11" s="241" t="s">
        <v>286</v>
      </c>
      <c r="H11" s="120">
        <f>C11</f>
        <v>0.04</v>
      </c>
      <c r="I11" s="120"/>
      <c r="J11" s="120"/>
      <c r="K11" s="293"/>
      <c r="L11" s="293"/>
    </row>
    <row r="12" spans="1:12" ht="375">
      <c r="A12" s="141" t="s">
        <v>291</v>
      </c>
      <c r="B12" s="130" t="s">
        <v>282</v>
      </c>
      <c r="C12" s="286">
        <v>0</v>
      </c>
      <c r="D12" s="289"/>
      <c r="E12" s="289"/>
      <c r="F12" s="241"/>
      <c r="G12" s="241"/>
      <c r="H12" s="288">
        <f>200*1000</f>
        <v>200000</v>
      </c>
      <c r="I12" s="120"/>
      <c r="J12" s="120"/>
      <c r="K12" s="293" t="s">
        <v>294</v>
      </c>
      <c r="L12" s="293" t="s">
        <v>288</v>
      </c>
    </row>
    <row r="13" spans="1:12" ht="120">
      <c r="A13" s="141" t="s">
        <v>280</v>
      </c>
      <c r="B13" s="130" t="s">
        <v>282</v>
      </c>
      <c r="C13" s="286">
        <f>200*1000</f>
        <v>200000</v>
      </c>
      <c r="D13" s="289"/>
      <c r="E13" s="289"/>
      <c r="F13" s="241" t="s">
        <v>289</v>
      </c>
      <c r="G13" s="241"/>
      <c r="H13" s="288">
        <f>80%*C13</f>
        <v>160000</v>
      </c>
      <c r="I13" s="288"/>
      <c r="J13" s="288"/>
      <c r="K13" s="293" t="s">
        <v>292</v>
      </c>
      <c r="L13" s="293"/>
    </row>
    <row r="14" spans="1:12" ht="60">
      <c r="A14" s="141" t="s">
        <v>279</v>
      </c>
      <c r="B14" s="130" t="s">
        <v>282</v>
      </c>
      <c r="C14" s="286">
        <v>0</v>
      </c>
      <c r="D14" s="289"/>
      <c r="E14" s="289"/>
      <c r="F14" s="241"/>
      <c r="G14" s="241"/>
      <c r="H14" s="288">
        <f>50%*H12</f>
        <v>100000</v>
      </c>
      <c r="I14" s="288"/>
      <c r="J14" s="288"/>
      <c r="K14" s="293" t="s">
        <v>293</v>
      </c>
      <c r="L14" s="293"/>
    </row>
    <row r="15" spans="1:12" ht="30">
      <c r="A15" s="141" t="s">
        <v>33</v>
      </c>
      <c r="B15" s="130" t="s">
        <v>282</v>
      </c>
      <c r="C15" s="286"/>
      <c r="D15" s="289"/>
      <c r="E15" s="289"/>
      <c r="F15" s="241" t="s">
        <v>290</v>
      </c>
      <c r="G15" s="241"/>
      <c r="H15" s="288"/>
      <c r="I15" s="288"/>
      <c r="J15" s="288"/>
      <c r="K15" s="293" t="s">
        <v>290</v>
      </c>
      <c r="L15" s="293"/>
    </row>
    <row r="18" spans="1:12">
      <c r="A18" s="145"/>
      <c r="B18" s="144"/>
    </row>
    <row r="19" spans="1:12">
      <c r="A19" s="145"/>
      <c r="B19" s="144"/>
    </row>
    <row r="20" spans="1:12">
      <c r="B20" s="144"/>
    </row>
    <row r="21" spans="1:12">
      <c r="B21" s="144"/>
    </row>
    <row r="22" spans="1:12">
      <c r="B22" s="144"/>
    </row>
    <row r="23" spans="1:12">
      <c r="B23" s="144"/>
    </row>
    <row r="24" spans="1:12">
      <c r="B24" s="144"/>
      <c r="C24" s="4"/>
      <c r="D24" s="4"/>
      <c r="E24" s="4"/>
      <c r="F24" s="4"/>
      <c r="G24" s="4"/>
      <c r="K24" s="4"/>
      <c r="L24" s="4"/>
    </row>
    <row r="25" spans="1:12">
      <c r="A25" s="145"/>
      <c r="B25" s="144"/>
      <c r="C25" s="4"/>
      <c r="D25" s="4"/>
      <c r="E25" s="4"/>
      <c r="F25" s="4"/>
      <c r="G25" s="4"/>
      <c r="K25" s="4"/>
      <c r="L25" s="4"/>
    </row>
    <row r="26" spans="1:12">
      <c r="A26" s="145"/>
      <c r="B26" s="144"/>
      <c r="C26" s="4"/>
      <c r="D26" s="4"/>
      <c r="E26" s="4"/>
      <c r="F26" s="4"/>
      <c r="G26" s="4"/>
      <c r="K26" s="4"/>
      <c r="L26" s="4"/>
    </row>
    <row r="27" spans="1:12">
      <c r="A27" s="145"/>
      <c r="B27" s="144"/>
      <c r="C27" s="4"/>
      <c r="D27" s="4"/>
      <c r="E27" s="4"/>
      <c r="F27" s="4"/>
      <c r="G27" s="4"/>
      <c r="K27" s="4"/>
      <c r="L27" s="4"/>
    </row>
    <row r="28" spans="1:12">
      <c r="A28" s="145"/>
      <c r="B28" s="144"/>
      <c r="C28" s="4"/>
      <c r="D28" s="4"/>
      <c r="E28" s="4"/>
      <c r="F28" s="4"/>
      <c r="G28" s="4"/>
      <c r="K28" s="4"/>
      <c r="L28" s="4"/>
    </row>
    <row r="29" spans="1:12">
      <c r="A29" s="145"/>
      <c r="B29" s="144"/>
      <c r="C29" s="4"/>
      <c r="D29" s="4"/>
      <c r="E29" s="4"/>
      <c r="F29" s="4"/>
      <c r="G29" s="4"/>
      <c r="K29" s="4"/>
      <c r="L29" s="4"/>
    </row>
    <row r="30" spans="1:12">
      <c r="A30" s="145"/>
      <c r="B30" s="144"/>
      <c r="C30" s="4"/>
      <c r="D30" s="4"/>
      <c r="E30" s="4"/>
      <c r="F30" s="4"/>
      <c r="G30" s="4"/>
      <c r="K30" s="4"/>
      <c r="L30" s="4"/>
    </row>
    <row r="31" spans="1:12">
      <c r="A31" s="145"/>
      <c r="B31" s="144"/>
      <c r="C31" s="4"/>
      <c r="D31" s="4"/>
      <c r="E31" s="4"/>
      <c r="F31" s="4"/>
      <c r="G31" s="4"/>
      <c r="K31" s="4"/>
      <c r="L31" s="4"/>
    </row>
    <row r="32" spans="1:12">
      <c r="A32" s="145"/>
      <c r="B32" s="144"/>
      <c r="C32" s="4"/>
      <c r="D32" s="4"/>
      <c r="E32" s="4"/>
      <c r="F32" s="4"/>
      <c r="G32" s="4"/>
      <c r="K32" s="4"/>
      <c r="L32" s="4"/>
    </row>
    <row r="33" spans="1:12">
      <c r="A33" s="145"/>
      <c r="B33" s="144"/>
      <c r="C33" s="4"/>
      <c r="D33" s="4"/>
      <c r="E33" s="4"/>
      <c r="F33" s="4"/>
      <c r="G33" s="4"/>
      <c r="K33" s="4"/>
      <c r="L33" s="4"/>
    </row>
    <row r="34" spans="1:12">
      <c r="A34" s="145"/>
      <c r="B34" s="144"/>
      <c r="C34" s="4"/>
      <c r="D34" s="4"/>
      <c r="E34" s="4"/>
      <c r="F34" s="4"/>
      <c r="G34" s="4"/>
      <c r="K34" s="4"/>
      <c r="L34" s="4"/>
    </row>
    <row r="35" spans="1:12">
      <c r="A35" s="145"/>
      <c r="B35" s="144"/>
      <c r="C35" s="4"/>
      <c r="D35" s="4"/>
      <c r="E35" s="4"/>
      <c r="F35" s="4"/>
      <c r="G35" s="4"/>
      <c r="K35" s="4"/>
      <c r="L35" s="4"/>
    </row>
    <row r="36" spans="1:12">
      <c r="A36" s="145"/>
      <c r="B36" s="144"/>
      <c r="C36" s="4"/>
      <c r="D36" s="4"/>
      <c r="E36" s="4"/>
      <c r="F36" s="4"/>
      <c r="G36" s="4"/>
      <c r="K36" s="4"/>
      <c r="L36" s="4"/>
    </row>
    <row r="37" spans="1:12">
      <c r="A37" s="145"/>
      <c r="B37" s="144"/>
      <c r="C37" s="4"/>
      <c r="D37" s="4"/>
      <c r="E37" s="4"/>
      <c r="F37" s="4"/>
      <c r="G37" s="4"/>
      <c r="K37" s="4"/>
      <c r="L37" s="4"/>
    </row>
    <row r="38" spans="1:12">
      <c r="A38" s="145"/>
      <c r="B38" s="144"/>
      <c r="C38" s="4"/>
      <c r="D38" s="4"/>
      <c r="E38" s="4"/>
      <c r="F38" s="4"/>
      <c r="G38" s="4"/>
      <c r="K38" s="4"/>
      <c r="L38" s="4"/>
    </row>
    <row r="39" spans="1:12">
      <c r="A39" s="145"/>
      <c r="B39" s="144"/>
      <c r="C39" s="4"/>
      <c r="D39" s="4"/>
      <c r="E39" s="4"/>
      <c r="F39" s="4"/>
      <c r="G39" s="4"/>
      <c r="K39" s="4"/>
      <c r="L39" s="4"/>
    </row>
    <row r="40" spans="1:12">
      <c r="A40" s="145"/>
      <c r="B40" s="144"/>
      <c r="C40" s="4"/>
      <c r="D40" s="4"/>
      <c r="E40" s="4"/>
      <c r="F40" s="4"/>
      <c r="G40" s="4"/>
      <c r="K40" s="4"/>
      <c r="L40" s="4"/>
    </row>
    <row r="41" spans="1:12">
      <c r="A41" s="145"/>
      <c r="B41" s="144"/>
      <c r="C41" s="4"/>
      <c r="D41" s="4"/>
      <c r="E41" s="4"/>
      <c r="F41" s="4"/>
      <c r="G41" s="4"/>
      <c r="K41" s="4"/>
      <c r="L41" s="4"/>
    </row>
    <row r="42" spans="1:12">
      <c r="A42" s="145"/>
      <c r="B42" s="144"/>
      <c r="C42" s="4"/>
      <c r="D42" s="4"/>
      <c r="E42" s="4"/>
      <c r="F42" s="4"/>
      <c r="G42" s="4"/>
      <c r="K42" s="4"/>
      <c r="L42" s="4"/>
    </row>
    <row r="43" spans="1:12">
      <c r="A43" s="145"/>
      <c r="B43" s="144"/>
      <c r="C43" s="4"/>
      <c r="D43" s="4"/>
      <c r="E43" s="4"/>
      <c r="F43" s="4"/>
      <c r="G43" s="4"/>
      <c r="K43" s="4"/>
      <c r="L43" s="4"/>
    </row>
    <row r="44" spans="1:12">
      <c r="A44" s="145"/>
      <c r="B44" s="144"/>
      <c r="C44" s="4"/>
      <c r="D44" s="4"/>
      <c r="E44" s="4"/>
      <c r="F44" s="4"/>
      <c r="G44" s="4"/>
      <c r="K44" s="4"/>
      <c r="L44" s="4"/>
    </row>
    <row r="45" spans="1:12">
      <c r="A45" s="145"/>
      <c r="B45" s="144"/>
      <c r="C45" s="4"/>
      <c r="D45" s="4"/>
      <c r="E45" s="4"/>
      <c r="F45" s="4"/>
      <c r="G45" s="4"/>
      <c r="K45" s="4"/>
      <c r="L45" s="4"/>
    </row>
    <row r="46" spans="1:12">
      <c r="A46" s="145"/>
      <c r="B46" s="144"/>
      <c r="C46" s="4"/>
      <c r="D46" s="4"/>
      <c r="E46" s="4"/>
      <c r="F46" s="4"/>
      <c r="G46" s="4"/>
      <c r="K46" s="4"/>
      <c r="L46" s="4"/>
    </row>
    <row r="47" spans="1:12">
      <c r="A47" s="145"/>
      <c r="B47" s="144"/>
      <c r="C47" s="4"/>
      <c r="D47" s="4"/>
      <c r="E47" s="4"/>
      <c r="F47" s="4"/>
      <c r="G47" s="4"/>
      <c r="K47" s="4"/>
      <c r="L47" s="4"/>
    </row>
    <row r="48" spans="1:12">
      <c r="A48" s="145"/>
      <c r="B48" s="144"/>
      <c r="C48" s="4"/>
      <c r="D48" s="4"/>
      <c r="E48" s="4"/>
      <c r="F48" s="4"/>
      <c r="G48" s="4"/>
      <c r="K48" s="4"/>
      <c r="L48" s="4"/>
    </row>
    <row r="49" spans="1:12">
      <c r="A49" s="145"/>
      <c r="B49" s="144"/>
      <c r="C49" s="4"/>
      <c r="D49" s="4"/>
      <c r="E49" s="4"/>
      <c r="F49" s="4"/>
      <c r="G49" s="4"/>
      <c r="K49" s="4"/>
      <c r="L49" s="4"/>
    </row>
    <row r="50" spans="1:12">
      <c r="A50" s="145"/>
      <c r="B50" s="144"/>
      <c r="C50" s="4"/>
      <c r="D50" s="4"/>
      <c r="E50" s="4"/>
      <c r="F50" s="4"/>
      <c r="G50" s="4"/>
      <c r="K50" s="4"/>
      <c r="L50" s="4"/>
    </row>
    <row r="51" spans="1:12">
      <c r="A51" s="145"/>
      <c r="B51" s="144"/>
      <c r="C51" s="4"/>
      <c r="D51" s="4"/>
      <c r="E51" s="4"/>
      <c r="F51" s="4"/>
      <c r="G51" s="4"/>
      <c r="K51" s="4"/>
      <c r="L51" s="4"/>
    </row>
    <row r="52" spans="1:12">
      <c r="A52" s="145"/>
      <c r="B52" s="144"/>
      <c r="C52" s="4"/>
      <c r="D52" s="4"/>
      <c r="E52" s="4"/>
      <c r="F52" s="4"/>
      <c r="G52" s="4"/>
      <c r="K52" s="4"/>
      <c r="L52" s="4"/>
    </row>
    <row r="53" spans="1:12">
      <c r="A53" s="145"/>
      <c r="B53" s="144"/>
      <c r="C53" s="4"/>
      <c r="D53" s="4"/>
      <c r="E53" s="4"/>
      <c r="F53" s="4"/>
      <c r="G53" s="4"/>
      <c r="K53" s="4"/>
      <c r="L53" s="4"/>
    </row>
  </sheetData>
  <mergeCells count="2">
    <mergeCell ref="G5:G6"/>
    <mergeCell ref="L5:L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C14" sqref="C14"/>
    </sheetView>
  </sheetViews>
  <sheetFormatPr baseColWidth="10" defaultRowHeight="15" x14ac:dyDescent="0"/>
  <cols>
    <col min="1" max="1" width="38.33203125" customWidth="1"/>
    <col min="2" max="11" width="13.6640625" customWidth="1"/>
  </cols>
  <sheetData>
    <row r="1" spans="1:12" s="64" customFormat="1" ht="12">
      <c r="A1" s="73" t="s">
        <v>60</v>
      </c>
      <c r="B1" s="74">
        <v>1</v>
      </c>
      <c r="C1" s="74">
        <v>2</v>
      </c>
      <c r="D1" s="74">
        <v>3</v>
      </c>
      <c r="E1" s="74">
        <v>4</v>
      </c>
      <c r="F1" s="74">
        <v>5</v>
      </c>
      <c r="G1" s="74">
        <v>6</v>
      </c>
      <c r="H1" s="74">
        <v>7</v>
      </c>
      <c r="I1" s="74">
        <v>8</v>
      </c>
      <c r="J1" s="74">
        <v>9</v>
      </c>
      <c r="K1" s="74">
        <v>10</v>
      </c>
    </row>
    <row r="2" spans="1:12" s="263" customFormat="1">
      <c r="A2" s="277" t="s">
        <v>61</v>
      </c>
      <c r="B2" s="266"/>
      <c r="C2" s="266"/>
      <c r="D2" s="266"/>
      <c r="E2" s="266"/>
      <c r="F2" s="266"/>
      <c r="G2" s="266"/>
      <c r="H2" s="266"/>
      <c r="I2" s="266"/>
      <c r="J2" s="266"/>
      <c r="K2" s="266"/>
      <c r="L2" s="267"/>
    </row>
    <row r="3" spans="1:12" s="263" customFormat="1">
      <c r="A3" s="77" t="s">
        <v>273</v>
      </c>
      <c r="B3" s="267"/>
      <c r="C3" s="267"/>
      <c r="D3" s="267"/>
      <c r="E3" s="267"/>
      <c r="F3" s="267"/>
      <c r="G3" s="267"/>
      <c r="H3" s="267"/>
      <c r="I3" s="267"/>
      <c r="J3" s="267"/>
      <c r="K3" s="267"/>
      <c r="L3" s="267"/>
    </row>
    <row r="4" spans="1:12" s="263" customFormat="1">
      <c r="A4" s="278" t="s">
        <v>275</v>
      </c>
      <c r="B4" s="279">
        <f>Barrage!$C$7*(1-Barrage!$C$9)</f>
        <v>297830000</v>
      </c>
      <c r="C4" s="280">
        <f>B4*(1-Barrage!$C$10)</f>
        <v>291873400</v>
      </c>
      <c r="D4" s="280">
        <f>C4*(1-Barrage!$C$10)</f>
        <v>286035932</v>
      </c>
      <c r="E4" s="279">
        <f>D4*(1-Barrage!$C$10)</f>
        <v>280315213.36000001</v>
      </c>
      <c r="F4" s="279">
        <f>E4*(1-Barrage!$C$10)</f>
        <v>274708909.09280002</v>
      </c>
      <c r="G4" s="279">
        <f>F4*(1-Barrage!$C$10)</f>
        <v>269214730.91094404</v>
      </c>
      <c r="H4" s="279">
        <f>G4*(1-Barrage!$C$10)</f>
        <v>263830436.29272515</v>
      </c>
      <c r="I4" s="279">
        <f>H4*(1-Barrage!$C$10)</f>
        <v>258553827.56687063</v>
      </c>
      <c r="J4" s="279">
        <f>I4*(1-Barrage!$C$10)</f>
        <v>253382751.01553321</v>
      </c>
      <c r="K4" s="279">
        <f>J4*(1-Barrage!$C$10)</f>
        <v>248315095.99522254</v>
      </c>
      <c r="L4" s="267"/>
    </row>
    <row r="5" spans="1:12" s="263" customFormat="1">
      <c r="A5" s="278" t="s">
        <v>266</v>
      </c>
      <c r="B5" s="279">
        <f>Barrage!$C$8</f>
        <v>169000000</v>
      </c>
      <c r="C5" s="280">
        <f>B5</f>
        <v>169000000</v>
      </c>
      <c r="D5" s="280">
        <f t="shared" ref="D5" si="0">C5</f>
        <v>169000000</v>
      </c>
      <c r="E5" s="279">
        <f t="shared" ref="E5" si="1">D5</f>
        <v>169000000</v>
      </c>
      <c r="F5" s="279">
        <f t="shared" ref="F5" si="2">E5</f>
        <v>169000000</v>
      </c>
      <c r="G5" s="279">
        <f t="shared" ref="G5" si="3">F5</f>
        <v>169000000</v>
      </c>
      <c r="H5" s="279">
        <f t="shared" ref="H5" si="4">G5</f>
        <v>169000000</v>
      </c>
      <c r="I5" s="279">
        <f t="shared" ref="I5" si="5">H5</f>
        <v>169000000</v>
      </c>
      <c r="J5" s="279">
        <f t="shared" ref="J5" si="6">I5</f>
        <v>169000000</v>
      </c>
      <c r="K5" s="279">
        <f t="shared" ref="K5" si="7">J5</f>
        <v>169000000</v>
      </c>
      <c r="L5" s="267"/>
    </row>
    <row r="6" spans="1:12" s="263" customFormat="1" ht="24">
      <c r="A6" s="278" t="s">
        <v>268</v>
      </c>
      <c r="B6" s="279">
        <f>B4-B5</f>
        <v>128830000</v>
      </c>
      <c r="C6" s="280">
        <f t="shared" ref="C6" si="8">C4-C5</f>
        <v>122873400</v>
      </c>
      <c r="D6" s="280">
        <f t="shared" ref="D6" si="9">D4-D5</f>
        <v>117035932</v>
      </c>
      <c r="E6" s="279">
        <f t="shared" ref="E6" si="10">E4-E5</f>
        <v>111315213.36000001</v>
      </c>
      <c r="F6" s="279">
        <f t="shared" ref="F6" si="11">F4-F5</f>
        <v>105708909.09280002</v>
      </c>
      <c r="G6" s="279">
        <f t="shared" ref="G6" si="12">G4-G5</f>
        <v>100214730.91094404</v>
      </c>
      <c r="H6" s="279">
        <f t="shared" ref="H6" si="13">H4-H5</f>
        <v>94830436.292725146</v>
      </c>
      <c r="I6" s="279">
        <f t="shared" ref="I6" si="14">I4-I5</f>
        <v>89553827.56687063</v>
      </c>
      <c r="J6" s="279">
        <f t="shared" ref="J6" si="15">J4-J5</f>
        <v>84382751.015533209</v>
      </c>
      <c r="K6" s="279">
        <f t="shared" ref="K6" si="16">K4-K5</f>
        <v>79315095.995222539</v>
      </c>
      <c r="L6" s="267"/>
    </row>
    <row r="7" spans="1:12" s="263" customFormat="1">
      <c r="A7" s="77" t="s">
        <v>277</v>
      </c>
      <c r="B7" s="279"/>
      <c r="C7" s="280"/>
      <c r="D7" s="280"/>
      <c r="E7" s="279"/>
      <c r="F7" s="279"/>
      <c r="G7" s="279"/>
      <c r="H7" s="279"/>
      <c r="I7" s="279"/>
      <c r="J7" s="279"/>
      <c r="K7" s="279"/>
      <c r="L7" s="267"/>
    </row>
    <row r="8" spans="1:12" s="263" customFormat="1">
      <c r="A8" s="278" t="s">
        <v>276</v>
      </c>
      <c r="B8" s="279">
        <f>B5*Barrage!$C$11</f>
        <v>6760000</v>
      </c>
      <c r="C8" s="280">
        <f>C5*Barrage!$C$11</f>
        <v>6760000</v>
      </c>
      <c r="D8" s="280">
        <f>D5*Barrage!$C$11</f>
        <v>6760000</v>
      </c>
      <c r="E8" s="279">
        <f>E5*Barrage!$C$11</f>
        <v>6760000</v>
      </c>
      <c r="F8" s="279">
        <f>F5*Barrage!$C$11</f>
        <v>6760000</v>
      </c>
      <c r="G8" s="279">
        <f>G5*Barrage!$C$11</f>
        <v>6760000</v>
      </c>
      <c r="H8" s="279">
        <f>H5*Barrage!$C$11</f>
        <v>6760000</v>
      </c>
      <c r="I8" s="279">
        <f>I5*Barrage!$C$11</f>
        <v>6760000</v>
      </c>
      <c r="J8" s="279">
        <f>J5*Barrage!$C$11</f>
        <v>6760000</v>
      </c>
      <c r="K8" s="279">
        <f>K5*Barrage!$C$11</f>
        <v>6760000</v>
      </c>
      <c r="L8" s="267"/>
    </row>
    <row r="9" spans="1:12" s="263" customFormat="1">
      <c r="A9" s="278" t="s">
        <v>278</v>
      </c>
      <c r="B9" s="279">
        <f>B6*Barrage!$C$11</f>
        <v>5153200</v>
      </c>
      <c r="C9" s="280">
        <f>C6*Barrage!$C$11</f>
        <v>4914936</v>
      </c>
      <c r="D9" s="280">
        <f>D6*Barrage!$C$11</f>
        <v>4681437.28</v>
      </c>
      <c r="E9" s="279">
        <f>E6*Barrage!$C$11</f>
        <v>4452608.5344000002</v>
      </c>
      <c r="F9" s="279">
        <f>F6*Barrage!$C$11</f>
        <v>4228356.3637120007</v>
      </c>
      <c r="G9" s="279">
        <f>G6*Barrage!$C$11</f>
        <v>4008589.2364377617</v>
      </c>
      <c r="H9" s="279">
        <f>H6*Barrage!$C$11</f>
        <v>3793217.451709006</v>
      </c>
      <c r="I9" s="279">
        <f>I6*Barrage!$C$11</f>
        <v>3582153.1026748251</v>
      </c>
      <c r="J9" s="279">
        <f>J6*Barrage!$C$11</f>
        <v>3375310.0406213286</v>
      </c>
      <c r="K9" s="279">
        <f>K6*Barrage!$C$11</f>
        <v>3172603.8398089018</v>
      </c>
      <c r="L9" s="267"/>
    </row>
    <row r="10" spans="1:12" s="263" customFormat="1">
      <c r="A10" s="77" t="s">
        <v>274</v>
      </c>
      <c r="B10" s="279">
        <f>SUM(B8:B9)</f>
        <v>11913200</v>
      </c>
      <c r="C10" s="280">
        <f t="shared" ref="C10" si="17">SUM(C8:C9)</f>
        <v>11674936</v>
      </c>
      <c r="D10" s="280">
        <f t="shared" ref="D10" si="18">SUM(D8:D9)</f>
        <v>11441437.280000001</v>
      </c>
      <c r="E10" s="279">
        <f t="shared" ref="E10" si="19">SUM(E8:E9)</f>
        <v>11212608.534400001</v>
      </c>
      <c r="F10" s="279">
        <f t="shared" ref="F10" si="20">SUM(F8:F9)</f>
        <v>10988356.363712002</v>
      </c>
      <c r="G10" s="279">
        <f t="shared" ref="G10" si="21">SUM(G8:G9)</f>
        <v>10768589.236437762</v>
      </c>
      <c r="H10" s="279">
        <f t="shared" ref="H10" si="22">SUM(H8:H9)</f>
        <v>10553217.451709006</v>
      </c>
      <c r="I10" s="279">
        <f t="shared" ref="I10" si="23">SUM(I8:I9)</f>
        <v>10342153.102674825</v>
      </c>
      <c r="J10" s="279">
        <f t="shared" ref="J10" si="24">SUM(J8:J9)</f>
        <v>10135310.040621329</v>
      </c>
      <c r="K10" s="279">
        <f t="shared" ref="K10" si="25">SUM(K8:K9)</f>
        <v>9932603.8398089018</v>
      </c>
      <c r="L10" s="267"/>
    </row>
    <row r="11" spans="1:12" s="263" customFormat="1">
      <c r="A11" s="269"/>
      <c r="B11" s="268"/>
      <c r="C11" s="268"/>
      <c r="D11" s="268"/>
      <c r="E11" s="268"/>
      <c r="F11" s="268"/>
      <c r="G11" s="268"/>
      <c r="H11" s="268"/>
      <c r="I11" s="268"/>
      <c r="J11" s="268"/>
      <c r="K11" s="268"/>
      <c r="L11" s="267"/>
    </row>
    <row r="12" spans="1:12" s="263" customFormat="1">
      <c r="A12" s="277" t="s">
        <v>63</v>
      </c>
      <c r="B12" s="268"/>
      <c r="C12" s="268"/>
      <c r="D12" s="268"/>
      <c r="E12" s="268"/>
      <c r="F12" s="268"/>
      <c r="G12" s="268"/>
      <c r="H12" s="268"/>
      <c r="I12" s="268"/>
      <c r="J12" s="268"/>
      <c r="K12" s="268"/>
      <c r="L12" s="267"/>
    </row>
    <row r="13" spans="1:12" s="263" customFormat="1">
      <c r="A13" s="77" t="s">
        <v>64</v>
      </c>
      <c r="B13" s="291">
        <f>(C14-B14)*0.7</f>
        <v>2800</v>
      </c>
      <c r="C13" s="291">
        <f t="shared" ref="C13:J13" si="26">(D14-C14)*0.7</f>
        <v>2856</v>
      </c>
      <c r="D13" s="291">
        <f t="shared" si="26"/>
        <v>2913.120000000004</v>
      </c>
      <c r="E13" s="291">
        <f t="shared" si="26"/>
        <v>2971.3823999999963</v>
      </c>
      <c r="F13" s="291">
        <f t="shared" si="26"/>
        <v>3030.8100480000107</v>
      </c>
      <c r="G13" s="291">
        <f t="shared" si="26"/>
        <v>3091.426248959996</v>
      </c>
      <c r="H13" s="291">
        <f t="shared" si="26"/>
        <v>3153.254773939203</v>
      </c>
      <c r="I13" s="291">
        <f t="shared" si="26"/>
        <v>3216.319869417991</v>
      </c>
      <c r="J13" s="291">
        <f t="shared" si="26"/>
        <v>3280.6462668063496</v>
      </c>
      <c r="K13" s="291">
        <f>-SUM(B13:J13)</f>
        <v>-27312.959607123554</v>
      </c>
      <c r="L13" s="267"/>
    </row>
    <row r="14" spans="1:12" s="263" customFormat="1">
      <c r="A14" s="77" t="s">
        <v>280</v>
      </c>
      <c r="B14" s="279">
        <f>Barrage!C13</f>
        <v>200000</v>
      </c>
      <c r="C14" s="280">
        <f>B14*(1+Barrage!$C$10)</f>
        <v>204000</v>
      </c>
      <c r="D14" s="280">
        <f>C14*(1+Barrage!$C$10)</f>
        <v>208080</v>
      </c>
      <c r="E14" s="279">
        <f>D14*(1+Barrage!$C$10)</f>
        <v>212241.6</v>
      </c>
      <c r="F14" s="279">
        <f>E14*(1+Barrage!$C$10)</f>
        <v>216486.432</v>
      </c>
      <c r="G14" s="279">
        <f>F14*(1+Barrage!$C$10)</f>
        <v>220816.16064000002</v>
      </c>
      <c r="H14" s="279">
        <f>G14*(1+Barrage!$C$10)</f>
        <v>225232.48385280001</v>
      </c>
      <c r="I14" s="279">
        <f>H14*(1+Barrage!$C$10)</f>
        <v>229737.13352985602</v>
      </c>
      <c r="J14" s="279">
        <f>I14*(1+Barrage!$C$10)</f>
        <v>234331.87620045315</v>
      </c>
      <c r="K14" s="279">
        <f>J14*(1+Barrage!$C$10)</f>
        <v>239018.51372446222</v>
      </c>
      <c r="L14" s="267"/>
    </row>
    <row r="15" spans="1:12" s="263" customFormat="1">
      <c r="A15" s="273" t="s">
        <v>33</v>
      </c>
      <c r="B15" s="290">
        <f>Barrage!$C$15</f>
        <v>0</v>
      </c>
      <c r="C15" s="290">
        <f>B15</f>
        <v>0</v>
      </c>
      <c r="D15" s="290">
        <f t="shared" ref="D15:K15" si="27">C15</f>
        <v>0</v>
      </c>
      <c r="E15" s="290">
        <f t="shared" si="27"/>
        <v>0</v>
      </c>
      <c r="F15" s="290">
        <f t="shared" si="27"/>
        <v>0</v>
      </c>
      <c r="G15" s="290">
        <f t="shared" si="27"/>
        <v>0</v>
      </c>
      <c r="H15" s="290">
        <f t="shared" si="27"/>
        <v>0</v>
      </c>
      <c r="I15" s="290">
        <f t="shared" si="27"/>
        <v>0</v>
      </c>
      <c r="J15" s="290">
        <f t="shared" si="27"/>
        <v>0</v>
      </c>
      <c r="K15" s="290">
        <f t="shared" si="27"/>
        <v>0</v>
      </c>
      <c r="L15" s="267"/>
    </row>
    <row r="16" spans="1:12" s="183" customFormat="1" ht="12">
      <c r="A16" s="269"/>
      <c r="B16" s="268"/>
      <c r="C16" s="268"/>
      <c r="D16" s="268"/>
      <c r="E16" s="268"/>
      <c r="F16" s="268"/>
      <c r="G16" s="268"/>
      <c r="H16" s="268"/>
      <c r="I16" s="268"/>
      <c r="J16" s="268"/>
      <c r="K16" s="268"/>
      <c r="L16" s="271"/>
    </row>
    <row r="17" spans="1:12" s="183" customFormat="1" ht="12">
      <c r="A17" s="100" t="s">
        <v>225</v>
      </c>
      <c r="B17" s="283">
        <f>SUM(B10)-SUM(B13:B15)</f>
        <v>11710400</v>
      </c>
      <c r="C17" s="283">
        <f t="shared" ref="C17:K17" si="28">SUM(C10)-SUM(C13:C15)</f>
        <v>11468080</v>
      </c>
      <c r="D17" s="283">
        <f t="shared" si="28"/>
        <v>11230444.160000002</v>
      </c>
      <c r="E17" s="283">
        <f t="shared" si="28"/>
        <v>10997395.552000001</v>
      </c>
      <c r="F17" s="283">
        <f t="shared" si="28"/>
        <v>10768839.121664001</v>
      </c>
      <c r="G17" s="283">
        <f t="shared" si="28"/>
        <v>10544681.649548803</v>
      </c>
      <c r="H17" s="283">
        <f t="shared" si="28"/>
        <v>10324831.713082267</v>
      </c>
      <c r="I17" s="283">
        <f t="shared" si="28"/>
        <v>10109199.649275551</v>
      </c>
      <c r="J17" s="283">
        <f t="shared" si="28"/>
        <v>9897697.5181540698</v>
      </c>
      <c r="K17" s="283">
        <f t="shared" si="28"/>
        <v>9720898.285691563</v>
      </c>
      <c r="L17" s="272"/>
    </row>
    <row r="18" spans="1:12" s="263" customFormat="1">
      <c r="A18" s="267"/>
      <c r="B18" s="270"/>
      <c r="C18" s="270"/>
      <c r="D18" s="270"/>
      <c r="E18" s="270"/>
      <c r="F18" s="270"/>
      <c r="G18" s="270"/>
      <c r="H18" s="270"/>
      <c r="I18" s="270"/>
      <c r="J18" s="270"/>
      <c r="K18" s="270"/>
      <c r="L18" s="267"/>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C16" sqref="C16"/>
    </sheetView>
  </sheetViews>
  <sheetFormatPr baseColWidth="10" defaultRowHeight="15" x14ac:dyDescent="0"/>
  <cols>
    <col min="1" max="1" width="38.33203125" customWidth="1"/>
    <col min="2" max="11" width="13.6640625" customWidth="1"/>
  </cols>
  <sheetData>
    <row r="1" spans="1:12" s="64" customFormat="1" ht="12">
      <c r="A1" s="73" t="s">
        <v>60</v>
      </c>
      <c r="B1" s="74">
        <v>1</v>
      </c>
      <c r="C1" s="74">
        <v>2</v>
      </c>
      <c r="D1" s="74">
        <v>3</v>
      </c>
      <c r="E1" s="74">
        <v>4</v>
      </c>
      <c r="F1" s="74">
        <v>5</v>
      </c>
      <c r="G1" s="74">
        <v>6</v>
      </c>
      <c r="H1" s="74">
        <v>7</v>
      </c>
      <c r="I1" s="74">
        <v>8</v>
      </c>
      <c r="J1" s="74">
        <v>9</v>
      </c>
      <c r="K1" s="74">
        <v>10</v>
      </c>
    </row>
    <row r="2" spans="1:12" s="263" customFormat="1">
      <c r="A2" s="277" t="s">
        <v>61</v>
      </c>
      <c r="B2" s="266"/>
      <c r="C2" s="266"/>
      <c r="D2" s="266"/>
      <c r="E2" s="266"/>
      <c r="F2" s="266"/>
      <c r="G2" s="266"/>
      <c r="H2" s="266"/>
      <c r="I2" s="266"/>
      <c r="J2" s="266"/>
      <c r="K2" s="266"/>
      <c r="L2" s="267"/>
    </row>
    <row r="3" spans="1:12" s="263" customFormat="1">
      <c r="A3" s="77" t="s">
        <v>273</v>
      </c>
      <c r="B3" s="267"/>
      <c r="C3" s="267"/>
      <c r="D3" s="267"/>
      <c r="E3" s="267"/>
      <c r="F3" s="267"/>
      <c r="G3" s="267"/>
      <c r="H3" s="267"/>
      <c r="I3" s="267"/>
      <c r="J3" s="267"/>
      <c r="K3" s="267"/>
      <c r="L3" s="267"/>
    </row>
    <row r="4" spans="1:12" s="263" customFormat="1">
      <c r="A4" s="278" t="s">
        <v>275</v>
      </c>
      <c r="B4" s="279">
        <f>Barrage!$H$7*(1-Barrage!$H$9)</f>
        <v>297830000</v>
      </c>
      <c r="C4" s="280">
        <f>B4*(1-Barrage!$H$10)</f>
        <v>294851700</v>
      </c>
      <c r="D4" s="280">
        <f>C4*(1-Barrage!$H$10)</f>
        <v>291903183</v>
      </c>
      <c r="E4" s="279">
        <f>D4*(1-Barrage!$H$10)</f>
        <v>288984151.17000002</v>
      </c>
      <c r="F4" s="279">
        <f>E4*(1-Barrage!$H$10)</f>
        <v>286094309.65830004</v>
      </c>
      <c r="G4" s="279">
        <f>F4*(1-Barrage!$H$10)</f>
        <v>283233366.56171703</v>
      </c>
      <c r="H4" s="279">
        <f>G4*(1-Barrage!$H$10)</f>
        <v>280401032.89609987</v>
      </c>
      <c r="I4" s="279">
        <f>H4*(1-Barrage!$H$10)</f>
        <v>277597022.56713885</v>
      </c>
      <c r="J4" s="279">
        <f>I4*(1-Barrage!$H$10)</f>
        <v>274821052.34146744</v>
      </c>
      <c r="K4" s="279">
        <f>J4*(1-Barrage!$H$10)</f>
        <v>272072841.81805277</v>
      </c>
      <c r="L4" s="267"/>
    </row>
    <row r="5" spans="1:12" s="263" customFormat="1">
      <c r="A5" s="278" t="s">
        <v>266</v>
      </c>
      <c r="B5" s="279">
        <f>Barrage!$H$8</f>
        <v>169000000</v>
      </c>
      <c r="C5" s="280">
        <f>B5</f>
        <v>169000000</v>
      </c>
      <c r="D5" s="280">
        <f t="shared" ref="D5:K5" si="0">C5</f>
        <v>169000000</v>
      </c>
      <c r="E5" s="279">
        <f t="shared" si="0"/>
        <v>169000000</v>
      </c>
      <c r="F5" s="279">
        <f t="shared" si="0"/>
        <v>169000000</v>
      </c>
      <c r="G5" s="279">
        <f t="shared" si="0"/>
        <v>169000000</v>
      </c>
      <c r="H5" s="279">
        <f t="shared" si="0"/>
        <v>169000000</v>
      </c>
      <c r="I5" s="279">
        <f t="shared" si="0"/>
        <v>169000000</v>
      </c>
      <c r="J5" s="279">
        <f t="shared" si="0"/>
        <v>169000000</v>
      </c>
      <c r="K5" s="279">
        <f t="shared" si="0"/>
        <v>169000000</v>
      </c>
      <c r="L5" s="267"/>
    </row>
    <row r="6" spans="1:12" s="263" customFormat="1" ht="24">
      <c r="A6" s="278" t="s">
        <v>268</v>
      </c>
      <c r="B6" s="279">
        <f>B4-B5</f>
        <v>128830000</v>
      </c>
      <c r="C6" s="280">
        <f t="shared" ref="C6:K6" si="1">C4-C5</f>
        <v>125851700</v>
      </c>
      <c r="D6" s="280">
        <f t="shared" si="1"/>
        <v>122903183</v>
      </c>
      <c r="E6" s="279">
        <f t="shared" si="1"/>
        <v>119984151.17000002</v>
      </c>
      <c r="F6" s="279">
        <f t="shared" si="1"/>
        <v>117094309.65830004</v>
      </c>
      <c r="G6" s="279">
        <f t="shared" si="1"/>
        <v>114233366.56171703</v>
      </c>
      <c r="H6" s="279">
        <f t="shared" si="1"/>
        <v>111401032.89609987</v>
      </c>
      <c r="I6" s="279">
        <f t="shared" si="1"/>
        <v>108597022.56713885</v>
      </c>
      <c r="J6" s="279">
        <f t="shared" si="1"/>
        <v>105821052.34146744</v>
      </c>
      <c r="K6" s="279">
        <f t="shared" si="1"/>
        <v>103072841.81805277</v>
      </c>
      <c r="L6" s="267"/>
    </row>
    <row r="7" spans="1:12" s="263" customFormat="1">
      <c r="A7" s="278"/>
      <c r="B7" s="279"/>
      <c r="C7" s="280"/>
      <c r="D7" s="280"/>
      <c r="E7" s="279"/>
      <c r="F7" s="279"/>
      <c r="G7" s="279"/>
      <c r="H7" s="279"/>
      <c r="I7" s="279"/>
      <c r="J7" s="279"/>
      <c r="K7" s="279"/>
      <c r="L7" s="267"/>
    </row>
    <row r="8" spans="1:12" s="263" customFormat="1">
      <c r="A8" s="77" t="s">
        <v>277</v>
      </c>
      <c r="B8" s="279"/>
      <c r="C8" s="280"/>
      <c r="D8" s="280"/>
      <c r="E8" s="279"/>
      <c r="F8" s="279"/>
      <c r="G8" s="279"/>
      <c r="H8" s="279"/>
      <c r="I8" s="279"/>
      <c r="J8" s="279"/>
      <c r="K8" s="279"/>
      <c r="L8" s="267"/>
    </row>
    <row r="9" spans="1:12" s="263" customFormat="1">
      <c r="A9" s="278" t="s">
        <v>276</v>
      </c>
      <c r="B9" s="279">
        <f>B5*Barrage!$C$11</f>
        <v>6760000</v>
      </c>
      <c r="C9" s="280">
        <f>C5*Barrage!$C$11</f>
        <v>6760000</v>
      </c>
      <c r="D9" s="280">
        <f>D5*Barrage!$C$11</f>
        <v>6760000</v>
      </c>
      <c r="E9" s="279">
        <f>E5*Barrage!$C$11</f>
        <v>6760000</v>
      </c>
      <c r="F9" s="279">
        <f>F5*Barrage!$C$11</f>
        <v>6760000</v>
      </c>
      <c r="G9" s="279">
        <f>G5*Barrage!$C$11</f>
        <v>6760000</v>
      </c>
      <c r="H9" s="279">
        <f>H5*Barrage!$C$11</f>
        <v>6760000</v>
      </c>
      <c r="I9" s="279">
        <f>I5*Barrage!$C$11</f>
        <v>6760000</v>
      </c>
      <c r="J9" s="279">
        <f>J5*Barrage!$C$11</f>
        <v>6760000</v>
      </c>
      <c r="K9" s="279">
        <f>K5*Barrage!$C$11</f>
        <v>6760000</v>
      </c>
      <c r="L9" s="267"/>
    </row>
    <row r="10" spans="1:12" s="263" customFormat="1">
      <c r="A10" s="278" t="s">
        <v>278</v>
      </c>
      <c r="B10" s="279">
        <f>B6*Barrage!$C$11</f>
        <v>5153200</v>
      </c>
      <c r="C10" s="280">
        <f>C6*Barrage!$C$11</f>
        <v>5034068</v>
      </c>
      <c r="D10" s="280">
        <f>D6*Barrage!$C$11</f>
        <v>4916127.32</v>
      </c>
      <c r="E10" s="279">
        <f>E6*Barrage!$C$11</f>
        <v>4799366.0468000006</v>
      </c>
      <c r="F10" s="279">
        <f>F6*Barrage!$C$11</f>
        <v>4683772.3863320015</v>
      </c>
      <c r="G10" s="279">
        <f>G6*Barrage!$C$11</f>
        <v>4569334.6624686811</v>
      </c>
      <c r="H10" s="279">
        <f>H6*Barrage!$C$11</f>
        <v>4456041.3158439947</v>
      </c>
      <c r="I10" s="279">
        <f>I6*Barrage!$C$11</f>
        <v>4343880.9026855538</v>
      </c>
      <c r="J10" s="279">
        <f>J6*Barrage!$C$11</f>
        <v>4232842.0936586978</v>
      </c>
      <c r="K10" s="279">
        <f>K6*Barrage!$C$11</f>
        <v>4122913.672722111</v>
      </c>
      <c r="L10" s="267"/>
    </row>
    <row r="11" spans="1:12" s="263" customFormat="1">
      <c r="A11" s="77" t="s">
        <v>274</v>
      </c>
      <c r="B11" s="279">
        <f t="shared" ref="B11:K11" si="2">SUM(B9:B10)</f>
        <v>11913200</v>
      </c>
      <c r="C11" s="280">
        <f t="shared" si="2"/>
        <v>11794068</v>
      </c>
      <c r="D11" s="280">
        <f t="shared" si="2"/>
        <v>11676127.32</v>
      </c>
      <c r="E11" s="279">
        <f t="shared" si="2"/>
        <v>11559366.046800001</v>
      </c>
      <c r="F11" s="279">
        <f t="shared" si="2"/>
        <v>11443772.386332002</v>
      </c>
      <c r="G11" s="279">
        <f t="shared" si="2"/>
        <v>11329334.662468681</v>
      </c>
      <c r="H11" s="279">
        <f t="shared" si="2"/>
        <v>11216041.315843996</v>
      </c>
      <c r="I11" s="279">
        <f t="shared" si="2"/>
        <v>11103880.902685553</v>
      </c>
      <c r="J11" s="279">
        <f t="shared" si="2"/>
        <v>10992842.093658697</v>
      </c>
      <c r="K11" s="279">
        <f t="shared" si="2"/>
        <v>10882913.672722111</v>
      </c>
      <c r="L11" s="267"/>
    </row>
    <row r="12" spans="1:12" s="263" customFormat="1">
      <c r="A12" s="269"/>
      <c r="B12" s="282"/>
      <c r="C12" s="282"/>
      <c r="D12" s="282"/>
      <c r="E12" s="282"/>
      <c r="F12" s="282"/>
      <c r="G12" s="282"/>
      <c r="H12" s="282"/>
      <c r="I12" s="282"/>
      <c r="J12" s="282"/>
      <c r="K12" s="282"/>
      <c r="L12" s="267"/>
    </row>
    <row r="13" spans="1:12" s="263" customFormat="1">
      <c r="A13" s="277" t="s">
        <v>63</v>
      </c>
      <c r="B13" s="282"/>
      <c r="C13" s="282"/>
      <c r="D13" s="282"/>
      <c r="E13" s="282"/>
      <c r="F13" s="282"/>
      <c r="G13" s="282"/>
      <c r="H13" s="282"/>
      <c r="I13" s="282"/>
      <c r="J13" s="282"/>
      <c r="K13" s="282"/>
      <c r="L13" s="267"/>
    </row>
    <row r="14" spans="1:12" s="263" customFormat="1" ht="24">
      <c r="A14" s="77" t="s">
        <v>267</v>
      </c>
      <c r="B14" s="279">
        <f>Barrage!$H$12</f>
        <v>200000</v>
      </c>
      <c r="C14" s="280">
        <v>0</v>
      </c>
      <c r="D14" s="280">
        <v>0</v>
      </c>
      <c r="E14" s="279">
        <v>0</v>
      </c>
      <c r="F14" s="279">
        <v>0</v>
      </c>
      <c r="G14" s="279">
        <f>B14</f>
        <v>200000</v>
      </c>
      <c r="H14" s="279">
        <v>0</v>
      </c>
      <c r="I14" s="279">
        <v>0</v>
      </c>
      <c r="J14" s="279">
        <v>0</v>
      </c>
      <c r="K14" s="279">
        <v>0</v>
      </c>
      <c r="L14" s="267"/>
    </row>
    <row r="15" spans="1:12" s="263" customFormat="1">
      <c r="A15" s="77" t="s">
        <v>64</v>
      </c>
      <c r="B15" s="279">
        <f>(SUM(C16:C17)-SUM(B16:B17))*0.7</f>
        <v>1120</v>
      </c>
      <c r="C15" s="280">
        <f>(SUM(D16:D17)-SUM(C16:C17))*0.7</f>
        <v>1131.1999999999998</v>
      </c>
      <c r="D15" s="280">
        <f t="shared" ref="D15:J15" si="3">(SUM(E16:E17)-SUM(D16:D17))*0.7</f>
        <v>1142.5120000000227</v>
      </c>
      <c r="E15" s="279">
        <f t="shared" si="3"/>
        <v>1153.9371199999587</v>
      </c>
      <c r="F15" s="279">
        <f t="shared" si="3"/>
        <v>1165.4764912000273</v>
      </c>
      <c r="G15" s="279">
        <f t="shared" si="3"/>
        <v>1177.1312561120139</v>
      </c>
      <c r="H15" s="279">
        <f t="shared" si="3"/>
        <v>1188.9025686731095</v>
      </c>
      <c r="I15" s="279">
        <f t="shared" si="3"/>
        <v>1200.7915943598373</v>
      </c>
      <c r="J15" s="279">
        <f t="shared" si="3"/>
        <v>1212.7995103034423</v>
      </c>
      <c r="K15" s="279">
        <f>-SUM(B15:J15)</f>
        <v>-10492.750540648411</v>
      </c>
      <c r="L15" s="267"/>
    </row>
    <row r="16" spans="1:12" s="263" customFormat="1">
      <c r="A16" s="77" t="s">
        <v>280</v>
      </c>
      <c r="B16" s="279">
        <f>Barrage!H13</f>
        <v>160000</v>
      </c>
      <c r="C16" s="280">
        <f>B16*(1+Barrage!$H$10)</f>
        <v>161600</v>
      </c>
      <c r="D16" s="280">
        <f>C16*(1+Barrage!$H$10)</f>
        <v>163216</v>
      </c>
      <c r="E16" s="279">
        <f>D16*(1+Barrage!$H$10)</f>
        <v>164848.16</v>
      </c>
      <c r="F16" s="279">
        <f>E16*(1+Barrage!$H$10)</f>
        <v>166496.6416</v>
      </c>
      <c r="G16" s="279">
        <f>F16*(1+Barrage!$H$10)</f>
        <v>168161.60801600001</v>
      </c>
      <c r="H16" s="279">
        <f>G16*(1+Barrage!$H$10)</f>
        <v>169843.22409616</v>
      </c>
      <c r="I16" s="279">
        <f>H16*(1+Barrage!$H$10)</f>
        <v>171541.65633712162</v>
      </c>
      <c r="J16" s="279">
        <f>I16*(1+Barrage!$H$10)</f>
        <v>173257.07290049284</v>
      </c>
      <c r="K16" s="279">
        <f>J16*(1+Barrage!$H$10)</f>
        <v>174989.64362949776</v>
      </c>
      <c r="L16" s="267"/>
    </row>
    <row r="17" spans="1:12" s="263" customFormat="1">
      <c r="A17" s="77" t="s">
        <v>279</v>
      </c>
      <c r="B17" s="279">
        <f>Barrage!H14</f>
        <v>100000</v>
      </c>
      <c r="C17" s="280">
        <f>B17</f>
        <v>100000</v>
      </c>
      <c r="D17" s="280">
        <f t="shared" ref="D17:K17" si="4">C17</f>
        <v>100000</v>
      </c>
      <c r="E17" s="280">
        <f t="shared" si="4"/>
        <v>100000</v>
      </c>
      <c r="F17" s="280">
        <f t="shared" si="4"/>
        <v>100000</v>
      </c>
      <c r="G17" s="280">
        <f t="shared" si="4"/>
        <v>100000</v>
      </c>
      <c r="H17" s="280">
        <f t="shared" si="4"/>
        <v>100000</v>
      </c>
      <c r="I17" s="280">
        <f t="shared" si="4"/>
        <v>100000</v>
      </c>
      <c r="J17" s="280">
        <f t="shared" si="4"/>
        <v>100000</v>
      </c>
      <c r="K17" s="280">
        <f t="shared" si="4"/>
        <v>100000</v>
      </c>
      <c r="L17" s="292"/>
    </row>
    <row r="18" spans="1:12" s="263" customFormat="1">
      <c r="A18" s="273" t="s">
        <v>33</v>
      </c>
      <c r="B18" s="290">
        <f>Barrage!$H$15</f>
        <v>0</v>
      </c>
      <c r="C18" s="290">
        <f>B18</f>
        <v>0</v>
      </c>
      <c r="D18" s="290">
        <f t="shared" ref="D18:K18" si="5">C18</f>
        <v>0</v>
      </c>
      <c r="E18" s="290">
        <f t="shared" si="5"/>
        <v>0</v>
      </c>
      <c r="F18" s="290">
        <f t="shared" si="5"/>
        <v>0</v>
      </c>
      <c r="G18" s="290">
        <f t="shared" si="5"/>
        <v>0</v>
      </c>
      <c r="H18" s="290">
        <f t="shared" si="5"/>
        <v>0</v>
      </c>
      <c r="I18" s="290">
        <f t="shared" si="5"/>
        <v>0</v>
      </c>
      <c r="J18" s="290">
        <f t="shared" si="5"/>
        <v>0</v>
      </c>
      <c r="K18" s="290">
        <f t="shared" si="5"/>
        <v>0</v>
      </c>
      <c r="L18" s="267"/>
    </row>
    <row r="19" spans="1:12" s="263" customFormat="1">
      <c r="A19" s="269"/>
      <c r="B19" s="282"/>
      <c r="C19" s="282"/>
      <c r="D19" s="282"/>
      <c r="E19" s="282"/>
      <c r="F19" s="282"/>
      <c r="G19" s="282"/>
      <c r="H19" s="282"/>
      <c r="I19" s="282"/>
      <c r="J19" s="282"/>
      <c r="K19" s="282"/>
      <c r="L19" s="267"/>
    </row>
    <row r="20" spans="1:12" s="263" customFormat="1">
      <c r="A20" s="92" t="s">
        <v>224</v>
      </c>
      <c r="B20" s="282">
        <f>SUM(B11)-SUM(B14:B18)</f>
        <v>11452080</v>
      </c>
      <c r="C20" s="282">
        <f t="shared" ref="C20:J20" si="6">SUM(C11)-SUM(C14:C18)</f>
        <v>11531336.800000001</v>
      </c>
      <c r="D20" s="282">
        <f t="shared" si="6"/>
        <v>11411768.808</v>
      </c>
      <c r="E20" s="282">
        <f t="shared" si="6"/>
        <v>11293363.949680001</v>
      </c>
      <c r="F20" s="282">
        <f t="shared" si="6"/>
        <v>11176110.268240802</v>
      </c>
      <c r="G20" s="282">
        <f t="shared" si="6"/>
        <v>10859995.923196569</v>
      </c>
      <c r="H20" s="282">
        <f t="shared" si="6"/>
        <v>10945009.189179163</v>
      </c>
      <c r="I20" s="282">
        <f t="shared" si="6"/>
        <v>10831138.454754071</v>
      </c>
      <c r="J20" s="282">
        <f t="shared" si="6"/>
        <v>10718372.2212479</v>
      </c>
      <c r="K20" s="282">
        <f>SUM(K11)-SUM(K14:K18)</f>
        <v>10618416.779633261</v>
      </c>
      <c r="L20" s="267"/>
    </row>
    <row r="21" spans="1:12" s="64" customFormat="1" ht="12">
      <c r="A21" s="92" t="s">
        <v>225</v>
      </c>
      <c r="B21" s="282">
        <f>'CES_Barrage sans aménagement'!B17</f>
        <v>11710400</v>
      </c>
      <c r="C21" s="282">
        <f>'CES_Barrage sans aménagement'!C17</f>
        <v>11468080</v>
      </c>
      <c r="D21" s="282">
        <f>'CES_Barrage sans aménagement'!D17</f>
        <v>11230444.160000002</v>
      </c>
      <c r="E21" s="282">
        <f>'CES_Barrage sans aménagement'!E17</f>
        <v>10997395.552000001</v>
      </c>
      <c r="F21" s="282">
        <f>'CES_Barrage sans aménagement'!F17</f>
        <v>10768839.121664001</v>
      </c>
      <c r="G21" s="282">
        <f>'CES_Barrage sans aménagement'!G17</f>
        <v>10544681.649548803</v>
      </c>
      <c r="H21" s="282">
        <f>'CES_Barrage sans aménagement'!H17</f>
        <v>10324831.713082267</v>
      </c>
      <c r="I21" s="282">
        <f>'CES_Barrage sans aménagement'!I17</f>
        <v>10109199.649275551</v>
      </c>
      <c r="J21" s="282">
        <f>'CES_Barrage sans aménagement'!J17</f>
        <v>9897697.5181540698</v>
      </c>
      <c r="K21" s="282">
        <f>'CES_Barrage sans aménagement'!K17</f>
        <v>9720898.285691563</v>
      </c>
      <c r="L21" s="91"/>
    </row>
    <row r="22" spans="1:12" s="263" customFormat="1">
      <c r="A22" s="262"/>
      <c r="B22" s="281"/>
      <c r="C22" s="281"/>
      <c r="D22" s="281"/>
      <c r="E22" s="281"/>
      <c r="F22" s="281"/>
      <c r="G22" s="281"/>
      <c r="H22" s="281"/>
      <c r="I22" s="281"/>
      <c r="J22" s="281"/>
      <c r="K22" s="281"/>
      <c r="L22" s="267"/>
    </row>
    <row r="23" spans="1:12" s="263" customFormat="1" ht="25">
      <c r="A23" s="100" t="s">
        <v>281</v>
      </c>
      <c r="B23" s="283">
        <f>B20-B21</f>
        <v>-258320</v>
      </c>
      <c r="C23" s="283">
        <f t="shared" ref="C23:K23" si="7">C20-C21</f>
        <v>63256.800000000745</v>
      </c>
      <c r="D23" s="283">
        <f t="shared" si="7"/>
        <v>181324.64799999818</v>
      </c>
      <c r="E23" s="283">
        <f t="shared" si="7"/>
        <v>295968.39767999947</v>
      </c>
      <c r="F23" s="283">
        <f t="shared" si="7"/>
        <v>407271.14657680131</v>
      </c>
      <c r="G23" s="283">
        <f t="shared" si="7"/>
        <v>315314.27364776656</v>
      </c>
      <c r="H23" s="283">
        <f t="shared" si="7"/>
        <v>620177.47609689645</v>
      </c>
      <c r="I23" s="283">
        <f t="shared" si="7"/>
        <v>721938.80547852069</v>
      </c>
      <c r="J23" s="283">
        <f t="shared" si="7"/>
        <v>820674.7030938305</v>
      </c>
      <c r="K23" s="283">
        <f t="shared" si="7"/>
        <v>897518.49394169822</v>
      </c>
      <c r="L23" s="267"/>
    </row>
    <row r="24" spans="1:12">
      <c r="A24" s="274"/>
      <c r="B24" s="275"/>
      <c r="C24" s="275"/>
      <c r="D24" s="276"/>
      <c r="E24" s="276"/>
      <c r="F24" s="276"/>
      <c r="G24" s="276"/>
      <c r="H24" s="276"/>
      <c r="I24" s="276"/>
      <c r="J24" s="276"/>
      <c r="K24" s="276"/>
      <c r="L24" s="265"/>
    </row>
    <row r="25" spans="1:12">
      <c r="A25" s="95" t="s">
        <v>67</v>
      </c>
      <c r="B25" s="294">
        <f>NPV('Parametres economiques'!$B$5,B23:K23)</f>
        <v>1935811.6066215571</v>
      </c>
      <c r="C25" s="284" t="s">
        <v>68</v>
      </c>
      <c r="D25" s="276"/>
      <c r="E25" s="264" t="s">
        <v>69</v>
      </c>
      <c r="F25" s="276"/>
      <c r="G25" s="276"/>
      <c r="H25" s="276"/>
      <c r="I25" s="276"/>
      <c r="J25" s="276"/>
      <c r="K25" s="276"/>
      <c r="L25" s="265"/>
    </row>
    <row r="26" spans="1:12">
      <c r="A26" s="86" t="s">
        <v>70</v>
      </c>
      <c r="B26" s="99">
        <f>IRR(B23:K23)</f>
        <v>0.76130868163081034</v>
      </c>
      <c r="C26" s="285"/>
      <c r="D26" s="276"/>
      <c r="E26" s="264" t="s">
        <v>71</v>
      </c>
      <c r="F26" s="276"/>
      <c r="G26" s="276"/>
      <c r="H26" s="276"/>
      <c r="I26" s="276"/>
      <c r="J26" s="276"/>
      <c r="K26" s="276"/>
      <c r="L26" s="26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249977111117893"/>
  </sheetPr>
  <dimension ref="A1:K43"/>
  <sheetViews>
    <sheetView workbookViewId="0">
      <selection activeCell="F13" sqref="F13"/>
    </sheetView>
  </sheetViews>
  <sheetFormatPr baseColWidth="10" defaultRowHeight="15" x14ac:dyDescent="0"/>
  <cols>
    <col min="1" max="1" width="33.1640625" style="101" customWidth="1"/>
    <col min="2" max="5" width="13.33203125" style="101" bestFit="1" customWidth="1"/>
    <col min="6" max="6" width="134.83203125" style="101" customWidth="1"/>
    <col min="7" max="7" width="11.83203125" style="101" bestFit="1" customWidth="1"/>
    <col min="8" max="16384" width="10.83203125" style="101"/>
  </cols>
  <sheetData>
    <row r="1" spans="1:7" s="1" customFormat="1">
      <c r="A1" s="2" t="s">
        <v>73</v>
      </c>
    </row>
    <row r="2" spans="1:7" ht="16" thickBot="1"/>
    <row r="3" spans="1:7" ht="46" customHeight="1">
      <c r="A3" s="193" t="s">
        <v>161</v>
      </c>
      <c r="B3" s="295" t="s">
        <v>162</v>
      </c>
      <c r="C3" s="296"/>
      <c r="D3" s="295" t="s">
        <v>163</v>
      </c>
      <c r="E3" s="296"/>
    </row>
    <row r="4" spans="1:7" s="104" customFormat="1" ht="31" thickBot="1">
      <c r="A4" s="16" t="s">
        <v>74</v>
      </c>
      <c r="B4" s="102" t="s">
        <v>122</v>
      </c>
      <c r="C4" s="103" t="s">
        <v>121</v>
      </c>
      <c r="D4" s="102" t="s">
        <v>122</v>
      </c>
      <c r="E4" s="103" t="s">
        <v>121</v>
      </c>
    </row>
    <row r="5" spans="1:7" s="9" customFormat="1" ht="16" thickBot="1">
      <c r="A5" s="10" t="s">
        <v>75</v>
      </c>
      <c r="B5" s="12"/>
      <c r="C5" s="105"/>
      <c r="D5" s="12"/>
      <c r="E5" s="105"/>
    </row>
    <row r="6" spans="1:7">
      <c r="A6" s="106" t="s">
        <v>76</v>
      </c>
      <c r="B6" s="107">
        <v>16</v>
      </c>
      <c r="C6" s="108">
        <f>B6</f>
        <v>16</v>
      </c>
      <c r="D6" s="107">
        <f>E6</f>
        <v>15</v>
      </c>
      <c r="E6" s="108">
        <v>15</v>
      </c>
      <c r="F6" s="138" t="s">
        <v>164</v>
      </c>
    </row>
    <row r="7" spans="1:7">
      <c r="A7" s="106" t="s">
        <v>77</v>
      </c>
      <c r="B7" s="107"/>
      <c r="C7" s="108"/>
      <c r="D7" s="107"/>
      <c r="E7" s="108"/>
    </row>
    <row r="8" spans="1:7" ht="16" thickBot="1">
      <c r="A8" s="106" t="s">
        <v>78</v>
      </c>
      <c r="B8" s="107">
        <v>11.4</v>
      </c>
      <c r="C8" s="108"/>
      <c r="D8" s="107"/>
      <c r="E8" s="108"/>
      <c r="F8" s="101" t="s">
        <v>230</v>
      </c>
    </row>
    <row r="9" spans="1:7" s="9" customFormat="1" ht="31" thickBot="1">
      <c r="A9" s="10" t="s">
        <v>117</v>
      </c>
      <c r="B9" s="12"/>
      <c r="C9" s="105"/>
      <c r="D9" s="12"/>
      <c r="E9" s="105"/>
      <c r="F9" s="109"/>
      <c r="G9" s="101"/>
    </row>
    <row r="10" spans="1:7" s="9" customFormat="1" ht="16" thickBot="1">
      <c r="A10" s="10" t="s">
        <v>114</v>
      </c>
      <c r="B10" s="12"/>
      <c r="C10" s="105"/>
      <c r="D10" s="12"/>
      <c r="E10" s="105"/>
    </row>
    <row r="11" spans="1:7">
      <c r="A11" s="259" t="s">
        <v>116</v>
      </c>
      <c r="B11" s="260">
        <f>C11/(1+(E11-D11)/D11)</f>
        <v>0.10721247563352826</v>
      </c>
      <c r="C11" s="261">
        <f>4/8*$E$13</f>
        <v>0.24122807017543857</v>
      </c>
      <c r="D11" s="260">
        <f>0.4/11.4</f>
        <v>3.5087719298245612E-2</v>
      </c>
      <c r="E11" s="261">
        <f>(0.9)/11.4</f>
        <v>7.8947368421052627E-2</v>
      </c>
      <c r="F11" s="138" t="s">
        <v>229</v>
      </c>
    </row>
    <row r="12" spans="1:7" ht="31" thickBot="1">
      <c r="A12" s="259" t="s">
        <v>115</v>
      </c>
      <c r="B12" s="260">
        <f>C12/(1+(E12-D12)/D12)</f>
        <v>4.0641685736079333E-2</v>
      </c>
      <c r="C12" s="261">
        <f>1/8*$E$13</f>
        <v>6.0307017543859642E-2</v>
      </c>
      <c r="D12" s="260">
        <f>3.1/11.4</f>
        <v>0.27192982456140352</v>
      </c>
      <c r="E12" s="261">
        <f>4.6/11.4</f>
        <v>0.40350877192982454</v>
      </c>
      <c r="F12" s="250" t="s">
        <v>251</v>
      </c>
    </row>
    <row r="13" spans="1:7" ht="16" thickBot="1">
      <c r="A13" s="133" t="s">
        <v>123</v>
      </c>
      <c r="B13" s="148">
        <f>SUM(B11:B12)</f>
        <v>0.14785416136960761</v>
      </c>
      <c r="C13" s="149">
        <f>SUM(C11:C12)</f>
        <v>0.30153508771929821</v>
      </c>
      <c r="D13" s="148">
        <f>SUM(D11:D12)</f>
        <v>0.30701754385964913</v>
      </c>
      <c r="E13" s="149">
        <f>SUM(E11:E12)</f>
        <v>0.48245614035087714</v>
      </c>
    </row>
    <row r="14" spans="1:7" s="9" customFormat="1" ht="16" thickBot="1">
      <c r="A14" s="10" t="s">
        <v>118</v>
      </c>
      <c r="B14" s="12"/>
      <c r="C14" s="105"/>
      <c r="D14" s="12"/>
      <c r="E14" s="105"/>
    </row>
    <row r="15" spans="1:7" ht="16" thickBot="1">
      <c r="A15" s="110" t="s">
        <v>120</v>
      </c>
      <c r="B15" s="146">
        <f>1.3/11.4</f>
        <v>0.11403508771929824</v>
      </c>
      <c r="C15" s="131">
        <f>B15</f>
        <v>0.11403508771929824</v>
      </c>
      <c r="D15" s="146">
        <f>B15</f>
        <v>0.11403508771929824</v>
      </c>
      <c r="E15" s="131">
        <f>D15</f>
        <v>0.11403508771929824</v>
      </c>
      <c r="F15" s="138" t="s">
        <v>229</v>
      </c>
      <c r="G15" s="239"/>
    </row>
    <row r="16" spans="1:7" s="9" customFormat="1" ht="16" thickBot="1">
      <c r="A16" s="135" t="s">
        <v>79</v>
      </c>
      <c r="B16" s="209"/>
      <c r="C16" s="209"/>
      <c r="D16" s="209"/>
      <c r="E16" s="209"/>
    </row>
    <row r="17" spans="1:11">
      <c r="A17" s="132" t="s">
        <v>41</v>
      </c>
      <c r="B17" s="147"/>
      <c r="C17" s="147"/>
      <c r="D17" s="147"/>
      <c r="E17" s="147"/>
    </row>
    <row r="18" spans="1:11">
      <c r="A18" s="132" t="s">
        <v>42</v>
      </c>
      <c r="B18" s="147"/>
      <c r="C18" s="147"/>
      <c r="D18" s="147"/>
      <c r="E18" s="147"/>
    </row>
    <row r="19" spans="1:11">
      <c r="A19" s="132" t="s">
        <v>44</v>
      </c>
      <c r="B19" s="147"/>
      <c r="C19" s="147"/>
      <c r="D19" s="147"/>
      <c r="E19" s="147"/>
    </row>
    <row r="20" spans="1:11" ht="16" thickBot="1">
      <c r="A20" s="132" t="s">
        <v>97</v>
      </c>
      <c r="B20" s="147"/>
      <c r="C20" s="147"/>
      <c r="D20" s="147"/>
      <c r="E20" s="147"/>
    </row>
    <row r="21" spans="1:11" ht="16" thickBot="1">
      <c r="A21" s="210" t="s">
        <v>98</v>
      </c>
      <c r="B21" s="211">
        <f>SUM(B17:B20)</f>
        <v>0</v>
      </c>
      <c r="C21" s="211">
        <f>SUM(C17:C20)</f>
        <v>0</v>
      </c>
      <c r="D21" s="211">
        <f>SUM(D17:D20)</f>
        <v>0</v>
      </c>
      <c r="E21" s="211">
        <f>SUM(E17:E20)</f>
        <v>0</v>
      </c>
    </row>
    <row r="22" spans="1:11" s="9" customFormat="1" ht="16" thickBot="1">
      <c r="A22" s="135" t="s">
        <v>80</v>
      </c>
      <c r="B22" s="208"/>
      <c r="C22" s="208"/>
      <c r="D22" s="208"/>
      <c r="E22" s="208"/>
      <c r="F22" s="101"/>
      <c r="G22" s="101"/>
      <c r="H22" s="101"/>
      <c r="I22" s="101"/>
      <c r="J22" s="101"/>
      <c r="K22" s="101"/>
    </row>
    <row r="23" spans="1:11">
      <c r="A23" s="134" t="s">
        <v>81</v>
      </c>
      <c r="B23" s="150"/>
      <c r="C23" s="150"/>
      <c r="D23" s="150"/>
      <c r="E23" s="150"/>
    </row>
    <row r="24" spans="1:11">
      <c r="A24" s="134" t="s">
        <v>99</v>
      </c>
      <c r="B24" s="150"/>
      <c r="C24" s="150"/>
      <c r="D24" s="150"/>
      <c r="E24" s="150"/>
    </row>
    <row r="25" spans="1:11">
      <c r="A25" s="134" t="s">
        <v>82</v>
      </c>
      <c r="B25" s="150"/>
      <c r="C25" s="150"/>
      <c r="D25" s="150"/>
      <c r="E25" s="150"/>
    </row>
    <row r="26" spans="1:11">
      <c r="A26" s="134" t="s">
        <v>83</v>
      </c>
      <c r="B26" s="150"/>
      <c r="C26" s="150"/>
      <c r="D26" s="150"/>
      <c r="E26" s="150"/>
    </row>
    <row r="27" spans="1:11" ht="16" thickBot="1">
      <c r="A27" s="134" t="s">
        <v>84</v>
      </c>
      <c r="B27" s="150"/>
      <c r="C27" s="150"/>
      <c r="D27" s="150"/>
      <c r="E27" s="150"/>
    </row>
    <row r="28" spans="1:11" s="9" customFormat="1" ht="16" thickBot="1">
      <c r="A28" s="135" t="s">
        <v>85</v>
      </c>
      <c r="B28" s="208"/>
      <c r="C28" s="208"/>
      <c r="D28" s="208"/>
      <c r="E28" s="208"/>
    </row>
    <row r="29" spans="1:11">
      <c r="A29" s="134" t="s">
        <v>87</v>
      </c>
      <c r="B29" s="150"/>
      <c r="C29" s="150"/>
      <c r="D29" s="150"/>
      <c r="E29" s="150"/>
    </row>
    <row r="30" spans="1:11">
      <c r="A30" s="134" t="s">
        <v>86</v>
      </c>
      <c r="B30" s="150"/>
      <c r="C30" s="150"/>
      <c r="D30" s="150"/>
      <c r="E30" s="150"/>
    </row>
    <row r="31" spans="1:11">
      <c r="A31" s="134" t="s">
        <v>88</v>
      </c>
      <c r="B31" s="150"/>
      <c r="C31" s="150"/>
      <c r="D31" s="150"/>
      <c r="E31" s="150"/>
    </row>
    <row r="32" spans="1:11" ht="16" thickBot="1">
      <c r="A32" s="134" t="s">
        <v>89</v>
      </c>
      <c r="B32" s="150"/>
      <c r="C32" s="150"/>
      <c r="D32" s="150"/>
      <c r="E32" s="150"/>
    </row>
    <row r="33" spans="1:7" s="9" customFormat="1" ht="31" thickBot="1">
      <c r="A33" s="210" t="s">
        <v>100</v>
      </c>
      <c r="B33" s="211">
        <f t="shared" ref="B33:C33" si="0">SUM(B23:B32)</f>
        <v>0</v>
      </c>
      <c r="C33" s="211">
        <f t="shared" si="0"/>
        <v>0</v>
      </c>
      <c r="D33" s="211">
        <f t="shared" ref="D33:E33" si="1">SUM(D23:D32)</f>
        <v>0</v>
      </c>
      <c r="E33" s="211">
        <f t="shared" si="1"/>
        <v>0</v>
      </c>
      <c r="F33" s="101"/>
      <c r="G33" s="101"/>
    </row>
    <row r="34" spans="1:7" ht="16" thickBot="1">
      <c r="A34" s="135" t="s">
        <v>90</v>
      </c>
      <c r="B34" s="136"/>
      <c r="C34" s="136"/>
      <c r="D34" s="136"/>
      <c r="E34" s="136"/>
      <c r="F34" s="9"/>
      <c r="G34" s="9"/>
    </row>
    <row r="35" spans="1:7">
      <c r="A35" s="132" t="s">
        <v>101</v>
      </c>
      <c r="B35" s="150"/>
      <c r="C35" s="150"/>
      <c r="D35" s="150"/>
      <c r="E35" s="150"/>
    </row>
    <row r="36" spans="1:7">
      <c r="A36" s="132" t="s">
        <v>102</v>
      </c>
      <c r="B36" s="150"/>
      <c r="C36" s="150"/>
      <c r="D36" s="150"/>
      <c r="E36" s="150"/>
    </row>
    <row r="37" spans="1:7">
      <c r="A37" s="132" t="s">
        <v>103</v>
      </c>
      <c r="B37" s="150"/>
      <c r="C37" s="150"/>
      <c r="D37" s="150"/>
      <c r="E37" s="150"/>
    </row>
    <row r="38" spans="1:7">
      <c r="A38" s="132" t="s">
        <v>104</v>
      </c>
      <c r="B38" s="150"/>
      <c r="C38" s="150"/>
      <c r="D38" s="150"/>
      <c r="E38" s="150"/>
    </row>
    <row r="39" spans="1:7">
      <c r="A39" s="132" t="s">
        <v>105</v>
      </c>
      <c r="B39" s="150"/>
      <c r="C39" s="150"/>
      <c r="D39" s="150"/>
      <c r="E39" s="150"/>
    </row>
    <row r="40" spans="1:7" ht="30">
      <c r="A40" s="134" t="s">
        <v>106</v>
      </c>
      <c r="B40" s="150"/>
      <c r="C40" s="150"/>
      <c r="D40" s="150"/>
      <c r="E40" s="150"/>
    </row>
    <row r="41" spans="1:7" ht="16" thickBot="1">
      <c r="A41" s="134" t="s">
        <v>91</v>
      </c>
      <c r="B41" s="150"/>
      <c r="C41" s="150"/>
      <c r="D41" s="150"/>
      <c r="E41" s="150"/>
    </row>
    <row r="42" spans="1:7" s="9" customFormat="1" ht="16" thickBot="1">
      <c r="A42" s="133" t="s">
        <v>107</v>
      </c>
      <c r="B42" s="148">
        <f t="shared" ref="B42:C42" si="2">SUM(B35:B41)</f>
        <v>0</v>
      </c>
      <c r="C42" s="149">
        <f t="shared" si="2"/>
        <v>0</v>
      </c>
      <c r="D42" s="148">
        <f t="shared" ref="D42:E42" si="3">SUM(D35:D41)</f>
        <v>0</v>
      </c>
      <c r="E42" s="149">
        <f t="shared" si="3"/>
        <v>0</v>
      </c>
      <c r="F42" s="101"/>
      <c r="G42" s="101"/>
    </row>
    <row r="43" spans="1:7" ht="16" thickBot="1">
      <c r="A43" s="137" t="s">
        <v>228</v>
      </c>
      <c r="B43" s="151">
        <f>SUM(B13,B15,B21,B33,B42)</f>
        <v>0.26188924908890587</v>
      </c>
      <c r="C43" s="152">
        <f>SUM(C13,C15,C21,C33,C42)</f>
        <v>0.41557017543859642</v>
      </c>
      <c r="D43" s="151">
        <f>SUM(D13,D15,D21,D33,D42)</f>
        <v>0.42105263157894735</v>
      </c>
      <c r="E43" s="152">
        <f>SUM(E13,E15,E21,E33,E42)</f>
        <v>0.59649122807017541</v>
      </c>
      <c r="F43" s="9"/>
      <c r="G43" s="9"/>
    </row>
  </sheetData>
  <mergeCells count="2">
    <mergeCell ref="B3:C3"/>
    <mergeCell ref="D3:E3"/>
  </mergeCells>
  <conditionalFormatting sqref="B21:C21">
    <cfRule type="cellIs" dxfId="7" priority="9" operator="greaterThan">
      <formula>1</formula>
    </cfRule>
  </conditionalFormatting>
  <conditionalFormatting sqref="B33:C33">
    <cfRule type="cellIs" dxfId="6" priority="8" operator="greaterThan">
      <formula>1</formula>
    </cfRule>
  </conditionalFormatting>
  <conditionalFormatting sqref="B42:C42">
    <cfRule type="cellIs" dxfId="5" priority="7" operator="greaterThan">
      <formula>1</formula>
    </cfRule>
  </conditionalFormatting>
  <conditionalFormatting sqref="B13:C13">
    <cfRule type="cellIs" dxfId="4" priority="6" operator="greaterThan">
      <formula>1</formula>
    </cfRule>
  </conditionalFormatting>
  <conditionalFormatting sqref="D21:E21">
    <cfRule type="cellIs" dxfId="3" priority="4" operator="greaterThan">
      <formula>1</formula>
    </cfRule>
  </conditionalFormatting>
  <conditionalFormatting sqref="D33:E33">
    <cfRule type="cellIs" dxfId="2" priority="3" operator="greaterThan">
      <formula>1</formula>
    </cfRule>
  </conditionalFormatting>
  <conditionalFormatting sqref="D42:E42">
    <cfRule type="cellIs" dxfId="1" priority="2" operator="greaterThan">
      <formula>1</formula>
    </cfRule>
  </conditionalFormatting>
  <conditionalFormatting sqref="D13:E13">
    <cfRule type="cellIs" dxfId="0" priority="1" operator="greaterThan">
      <formula>1</formula>
    </cfRule>
  </conditionalFormatting>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499984740745262"/>
  </sheetPr>
  <dimension ref="A1:P76"/>
  <sheetViews>
    <sheetView workbookViewId="0">
      <selection activeCell="C5" sqref="C5"/>
    </sheetView>
  </sheetViews>
  <sheetFormatPr baseColWidth="10" defaultRowHeight="15" x14ac:dyDescent="0"/>
  <cols>
    <col min="1" max="1" width="24" style="11" customWidth="1"/>
    <col min="2" max="2" width="17.1640625" style="20" customWidth="1"/>
    <col min="3" max="3" width="10.83203125" style="40" customWidth="1"/>
    <col min="4" max="5" width="10.83203125" style="20" customWidth="1"/>
    <col min="6" max="6" width="24.83203125" style="37" customWidth="1"/>
    <col min="7" max="7" width="24.83203125" style="189" customWidth="1"/>
    <col min="8" max="9" width="10.83203125" style="20" customWidth="1"/>
    <col min="10" max="10" width="17.83203125" style="20" customWidth="1"/>
    <col min="11" max="11" width="24.83203125" style="26" customWidth="1"/>
    <col min="12" max="12" width="24.83203125" style="27" customWidth="1"/>
    <col min="13" max="14" width="10.83203125" style="27"/>
    <col min="15" max="15" width="17.83203125" style="20" customWidth="1"/>
    <col min="16" max="16" width="19.6640625" style="26" customWidth="1"/>
    <col min="17" max="16384" width="10.83203125" style="4"/>
  </cols>
  <sheetData>
    <row r="1" spans="1:16" s="1" customFormat="1">
      <c r="A1" s="2" t="s">
        <v>6</v>
      </c>
      <c r="B1" s="19"/>
      <c r="C1" s="39"/>
      <c r="D1" s="19"/>
      <c r="E1" s="19"/>
      <c r="F1" s="36"/>
      <c r="G1" s="19"/>
      <c r="H1" s="19"/>
      <c r="I1" s="19"/>
      <c r="J1" s="19"/>
      <c r="K1" s="25"/>
      <c r="L1" s="19"/>
      <c r="M1" s="19"/>
      <c r="N1" s="19"/>
      <c r="O1" s="19"/>
      <c r="P1" s="25"/>
    </row>
    <row r="2" spans="1:16">
      <c r="A2" s="3"/>
    </row>
    <row r="3" spans="1:16">
      <c r="C3" s="41" t="s">
        <v>202</v>
      </c>
      <c r="D3" s="28"/>
      <c r="E3" s="28"/>
      <c r="F3" s="38"/>
      <c r="G3" s="190"/>
      <c r="H3" s="29" t="s">
        <v>201</v>
      </c>
      <c r="I3" s="30"/>
      <c r="J3" s="30"/>
      <c r="K3" s="214"/>
      <c r="L3" s="31"/>
      <c r="M3" s="4"/>
      <c r="N3" s="4"/>
      <c r="O3" s="4"/>
      <c r="P3" s="4"/>
    </row>
    <row r="4" spans="1:16" s="9" customFormat="1" ht="61" thickBot="1">
      <c r="A4" s="139" t="s">
        <v>0</v>
      </c>
      <c r="B4" s="140" t="s">
        <v>1</v>
      </c>
      <c r="C4" s="42" t="s">
        <v>2</v>
      </c>
      <c r="D4" s="5" t="s">
        <v>3</v>
      </c>
      <c r="E4" s="6" t="s">
        <v>4</v>
      </c>
      <c r="F4" s="5" t="s">
        <v>45</v>
      </c>
      <c r="G4" s="6" t="s">
        <v>5</v>
      </c>
      <c r="H4" s="7" t="s">
        <v>2</v>
      </c>
      <c r="I4" s="7" t="s">
        <v>3</v>
      </c>
      <c r="J4" s="7" t="s">
        <v>4</v>
      </c>
      <c r="K4" s="7" t="s">
        <v>45</v>
      </c>
      <c r="L4" s="8" t="s">
        <v>5</v>
      </c>
    </row>
    <row r="5" spans="1:16" s="9" customFormat="1" ht="84" customHeight="1">
      <c r="A5" s="13" t="s">
        <v>124</v>
      </c>
      <c r="B5" s="14" t="s">
        <v>125</v>
      </c>
      <c r="C5" s="191"/>
      <c r="D5" s="21"/>
      <c r="E5" s="21"/>
      <c r="F5" s="206"/>
      <c r="G5" s="297" t="s">
        <v>233</v>
      </c>
      <c r="H5" s="23"/>
      <c r="I5" s="23"/>
      <c r="J5" s="23"/>
      <c r="K5" s="117"/>
      <c r="L5" s="299" t="s">
        <v>151</v>
      </c>
    </row>
    <row r="6" spans="1:16" s="9" customFormat="1" ht="80" customHeight="1" thickBot="1">
      <c r="A6" s="16" t="s">
        <v>40</v>
      </c>
      <c r="B6" s="17" t="s">
        <v>150</v>
      </c>
      <c r="C6" s="192"/>
      <c r="D6" s="22"/>
      <c r="E6" s="22"/>
      <c r="F6" s="207"/>
      <c r="G6" s="298"/>
      <c r="H6" s="24"/>
      <c r="I6" s="24"/>
      <c r="J6" s="24"/>
      <c r="K6" s="119"/>
      <c r="L6" s="300"/>
    </row>
    <row r="7" spans="1:16" ht="60">
      <c r="A7" s="141" t="s">
        <v>129</v>
      </c>
      <c r="B7" s="130" t="s">
        <v>169</v>
      </c>
      <c r="C7" s="153">
        <f>H7</f>
        <v>8</v>
      </c>
      <c r="D7" s="154"/>
      <c r="E7" s="154"/>
      <c r="F7" s="194"/>
      <c r="G7" s="195"/>
      <c r="H7" s="196">
        <v>8</v>
      </c>
      <c r="I7" s="197"/>
      <c r="J7" s="197"/>
      <c r="K7" s="213" t="s">
        <v>143</v>
      </c>
      <c r="L7" s="198" t="s">
        <v>195</v>
      </c>
      <c r="M7" s="4"/>
      <c r="N7" s="4"/>
      <c r="O7" s="4"/>
      <c r="P7" s="4"/>
    </row>
    <row r="8" spans="1:16">
      <c r="A8" s="141" t="s">
        <v>131</v>
      </c>
      <c r="B8" s="130" t="s">
        <v>169</v>
      </c>
      <c r="C8" s="240">
        <f>H8/(1+(0.9-0.4)/0.4)</f>
        <v>1.7777777777777777</v>
      </c>
      <c r="D8" s="154"/>
      <c r="E8" s="154"/>
      <c r="F8" s="194"/>
      <c r="G8" s="195"/>
      <c r="H8" s="196">
        <v>4</v>
      </c>
      <c r="I8" s="197"/>
      <c r="J8" s="197"/>
      <c r="K8" s="213" t="s">
        <v>165</v>
      </c>
      <c r="L8" s="198" t="s">
        <v>142</v>
      </c>
      <c r="M8" s="4"/>
      <c r="N8" s="4"/>
      <c r="O8" s="4"/>
      <c r="P8" s="4"/>
    </row>
    <row r="9" spans="1:16" ht="135">
      <c r="A9" s="141" t="s">
        <v>132</v>
      </c>
      <c r="B9" s="130" t="s">
        <v>172</v>
      </c>
      <c r="C9" s="240">
        <f>H9/(1+(14-9.2)/9.2)</f>
        <v>1.9714285714285713</v>
      </c>
      <c r="D9" s="154"/>
      <c r="E9" s="154"/>
      <c r="F9" s="194"/>
      <c r="G9" s="195" t="s">
        <v>234</v>
      </c>
      <c r="H9" s="196">
        <v>3</v>
      </c>
      <c r="I9" s="197"/>
      <c r="J9" s="197">
        <f>H9</f>
        <v>3</v>
      </c>
      <c r="K9" s="213"/>
      <c r="L9" s="198" t="s">
        <v>145</v>
      </c>
      <c r="M9" s="4"/>
      <c r="N9" s="4"/>
      <c r="O9" s="4"/>
      <c r="P9" s="4"/>
    </row>
    <row r="10" spans="1:16" ht="90">
      <c r="A10" s="141" t="s">
        <v>133</v>
      </c>
      <c r="B10" s="130" t="s">
        <v>176</v>
      </c>
      <c r="C10" s="244">
        <f>H10/H9*C9</f>
        <v>39428.571428571428</v>
      </c>
      <c r="D10" s="154"/>
      <c r="E10" s="154"/>
      <c r="F10" s="194"/>
      <c r="G10" s="195"/>
      <c r="H10" s="196">
        <f>20000*H9</f>
        <v>60000</v>
      </c>
      <c r="I10" s="197"/>
      <c r="J10" s="197">
        <f>20001*J9</f>
        <v>60003</v>
      </c>
      <c r="K10" s="213"/>
      <c r="L10" s="198" t="s">
        <v>210</v>
      </c>
      <c r="M10" s="4"/>
      <c r="N10" s="4"/>
      <c r="O10" s="4"/>
      <c r="P10" s="4"/>
    </row>
    <row r="11" spans="1:16" ht="91" thickBot="1">
      <c r="A11" s="141" t="s">
        <v>7</v>
      </c>
      <c r="B11" s="130" t="s">
        <v>191</v>
      </c>
      <c r="C11" s="153">
        <f>H11*1.2</f>
        <v>5760</v>
      </c>
      <c r="D11" s="154"/>
      <c r="E11" s="154"/>
      <c r="F11" s="194"/>
      <c r="G11" s="195" t="s">
        <v>235</v>
      </c>
      <c r="H11" s="196">
        <f>400*12</f>
        <v>4800</v>
      </c>
      <c r="I11" s="197"/>
      <c r="J11" s="197"/>
      <c r="K11" s="213"/>
      <c r="L11" s="198"/>
      <c r="M11" s="4"/>
      <c r="N11" s="4"/>
      <c r="O11" s="4"/>
      <c r="P11" s="4"/>
    </row>
    <row r="12" spans="1:16" s="9" customFormat="1" ht="31" thickBot="1">
      <c r="A12" s="142" t="s">
        <v>134</v>
      </c>
      <c r="B12" s="143"/>
      <c r="C12" s="199"/>
      <c r="D12" s="200"/>
      <c r="E12" s="200"/>
      <c r="F12" s="201"/>
      <c r="G12" s="201"/>
      <c r="H12" s="202"/>
      <c r="I12" s="203"/>
      <c r="J12" s="203"/>
      <c r="K12" s="215"/>
      <c r="L12" s="204"/>
    </row>
    <row r="13" spans="1:16" s="238" customFormat="1">
      <c r="A13" s="229" t="s">
        <v>8</v>
      </c>
      <c r="B13" s="230"/>
      <c r="C13" s="153">
        <f t="shared" ref="C13:C14" si="0">H13</f>
        <v>0</v>
      </c>
      <c r="D13" s="231"/>
      <c r="E13" s="231"/>
      <c r="F13" s="232"/>
      <c r="G13" s="233"/>
      <c r="H13" s="234"/>
      <c r="I13" s="235"/>
      <c r="J13" s="235"/>
      <c r="K13" s="236"/>
      <c r="L13" s="237"/>
    </row>
    <row r="14" spans="1:16">
      <c r="A14" s="141" t="s">
        <v>135</v>
      </c>
      <c r="B14" s="130" t="s">
        <v>173</v>
      </c>
      <c r="C14" s="153">
        <f t="shared" si="0"/>
        <v>6</v>
      </c>
      <c r="D14" s="154"/>
      <c r="E14" s="154"/>
      <c r="F14" s="194"/>
      <c r="G14" s="195"/>
      <c r="H14" s="196">
        <v>6</v>
      </c>
      <c r="I14" s="197">
        <v>5</v>
      </c>
      <c r="J14" s="197">
        <v>7.5</v>
      </c>
      <c r="K14" s="213"/>
      <c r="L14" s="198"/>
      <c r="M14" s="4"/>
      <c r="N14" s="4"/>
      <c r="O14" s="4"/>
      <c r="P14" s="4"/>
    </row>
    <row r="15" spans="1:16">
      <c r="A15" s="141" t="s">
        <v>136</v>
      </c>
      <c r="B15" s="130" t="s">
        <v>171</v>
      </c>
      <c r="C15" s="153">
        <f>H15</f>
        <v>40</v>
      </c>
      <c r="D15" s="154"/>
      <c r="E15" s="154"/>
      <c r="F15" s="194"/>
      <c r="G15" s="195"/>
      <c r="H15" s="196">
        <v>40</v>
      </c>
      <c r="I15" s="197">
        <v>30</v>
      </c>
      <c r="J15" s="197">
        <v>41</v>
      </c>
      <c r="K15" s="213" t="s">
        <v>143</v>
      </c>
      <c r="L15" s="198"/>
      <c r="M15" s="4"/>
      <c r="N15" s="4"/>
      <c r="O15" s="4"/>
      <c r="P15" s="4"/>
    </row>
    <row r="16" spans="1:16">
      <c r="A16" s="141" t="s">
        <v>9</v>
      </c>
      <c r="B16" s="130" t="s">
        <v>174</v>
      </c>
      <c r="C16" s="153">
        <f t="shared" ref="C16:C43" si="1">H16</f>
        <v>7.5</v>
      </c>
      <c r="D16" s="154"/>
      <c r="E16" s="154"/>
      <c r="F16" s="194"/>
      <c r="G16" s="195"/>
      <c r="H16" s="196">
        <v>7.5</v>
      </c>
      <c r="I16" s="197"/>
      <c r="J16" s="197"/>
      <c r="K16" s="213"/>
      <c r="L16" s="198"/>
      <c r="M16" s="4"/>
      <c r="N16" s="4"/>
      <c r="O16" s="4"/>
      <c r="P16" s="4"/>
    </row>
    <row r="17" spans="1:16">
      <c r="A17" s="141" t="s">
        <v>204</v>
      </c>
      <c r="B17" s="130" t="s">
        <v>177</v>
      </c>
      <c r="C17" s="153">
        <f t="shared" si="1"/>
        <v>10</v>
      </c>
      <c r="D17" s="154"/>
      <c r="E17" s="154"/>
      <c r="F17" s="194"/>
      <c r="G17" s="195"/>
      <c r="H17" s="196">
        <v>10</v>
      </c>
      <c r="I17" s="197"/>
      <c r="J17" s="197"/>
      <c r="K17" s="213" t="s">
        <v>143</v>
      </c>
      <c r="L17" s="198"/>
      <c r="M17" s="4"/>
      <c r="N17" s="4"/>
      <c r="O17" s="4"/>
      <c r="P17" s="4"/>
    </row>
    <row r="18" spans="1:16">
      <c r="A18" s="141" t="s">
        <v>10</v>
      </c>
      <c r="B18" s="130" t="s">
        <v>175</v>
      </c>
      <c r="C18" s="153">
        <f t="shared" si="1"/>
        <v>1.5</v>
      </c>
      <c r="D18" s="154"/>
      <c r="E18" s="154"/>
      <c r="F18" s="194"/>
      <c r="G18" s="195"/>
      <c r="H18" s="196">
        <v>1.5</v>
      </c>
      <c r="I18" s="197"/>
      <c r="J18" s="197"/>
      <c r="K18" s="213"/>
      <c r="L18" s="198"/>
      <c r="M18" s="4"/>
      <c r="N18" s="4"/>
      <c r="O18" s="4"/>
      <c r="P18" s="4"/>
    </row>
    <row r="19" spans="1:16">
      <c r="A19" s="141" t="s">
        <v>11</v>
      </c>
      <c r="B19" s="130" t="s">
        <v>176</v>
      </c>
      <c r="C19" s="153">
        <f t="shared" si="1"/>
        <v>60</v>
      </c>
      <c r="D19" s="154"/>
      <c r="E19" s="154"/>
      <c r="F19" s="194"/>
      <c r="G19" s="195"/>
      <c r="H19" s="196">
        <v>60</v>
      </c>
      <c r="I19" s="197"/>
      <c r="J19" s="197"/>
      <c r="K19" s="213"/>
      <c r="L19" s="198"/>
      <c r="M19" s="4"/>
      <c r="N19" s="4"/>
      <c r="O19" s="4"/>
      <c r="P19" s="4"/>
    </row>
    <row r="20" spans="1:16">
      <c r="A20" s="141" t="s">
        <v>12</v>
      </c>
      <c r="B20" s="130" t="s">
        <v>178</v>
      </c>
      <c r="C20" s="153">
        <f t="shared" si="1"/>
        <v>400</v>
      </c>
      <c r="D20" s="154"/>
      <c r="E20" s="154"/>
      <c r="F20" s="194"/>
      <c r="G20" s="195"/>
      <c r="H20" s="196">
        <v>400</v>
      </c>
      <c r="I20" s="197"/>
      <c r="J20" s="197"/>
      <c r="K20" s="213"/>
      <c r="L20" s="198"/>
      <c r="M20" s="4"/>
      <c r="N20" s="4"/>
      <c r="O20" s="4"/>
      <c r="P20" s="4"/>
    </row>
    <row r="21" spans="1:16">
      <c r="A21" s="141" t="s">
        <v>13</v>
      </c>
      <c r="B21" s="130" t="s">
        <v>176</v>
      </c>
      <c r="C21" s="153">
        <f t="shared" si="1"/>
        <v>150</v>
      </c>
      <c r="D21" s="154"/>
      <c r="E21" s="154"/>
      <c r="F21" s="194"/>
      <c r="G21" s="195"/>
      <c r="H21" s="196">
        <v>150</v>
      </c>
      <c r="I21" s="197"/>
      <c r="J21" s="197"/>
      <c r="K21" s="213"/>
      <c r="L21" s="198"/>
      <c r="M21" s="4"/>
      <c r="N21" s="4"/>
      <c r="O21" s="4"/>
      <c r="P21" s="4"/>
    </row>
    <row r="22" spans="1:16">
      <c r="A22" s="141" t="s">
        <v>108</v>
      </c>
      <c r="B22" s="130" t="s">
        <v>174</v>
      </c>
      <c r="C22" s="153">
        <f t="shared" si="1"/>
        <v>0</v>
      </c>
      <c r="D22" s="154"/>
      <c r="E22" s="154"/>
      <c r="F22" s="194"/>
      <c r="G22" s="195"/>
      <c r="H22" s="196"/>
      <c r="I22" s="197"/>
      <c r="J22" s="197"/>
      <c r="K22" s="213"/>
      <c r="L22" s="198"/>
      <c r="M22" s="4"/>
      <c r="N22" s="4"/>
      <c r="O22" s="4"/>
      <c r="P22" s="4"/>
    </row>
    <row r="23" spans="1:16">
      <c r="A23" s="141" t="s">
        <v>109</v>
      </c>
      <c r="B23" s="130" t="s">
        <v>176</v>
      </c>
      <c r="C23" s="153">
        <f t="shared" si="1"/>
        <v>0</v>
      </c>
      <c r="D23" s="154"/>
      <c r="E23" s="154"/>
      <c r="F23" s="194"/>
      <c r="G23" s="195"/>
      <c r="H23" s="196"/>
      <c r="I23" s="197"/>
      <c r="J23" s="197"/>
      <c r="K23" s="213"/>
      <c r="L23" s="198"/>
      <c r="M23" s="4"/>
      <c r="N23" s="4"/>
      <c r="O23" s="4"/>
      <c r="P23" s="4"/>
    </row>
    <row r="24" spans="1:16" s="238" customFormat="1">
      <c r="A24" s="229" t="s">
        <v>137</v>
      </c>
      <c r="B24" s="230"/>
      <c r="C24" s="153">
        <f t="shared" si="1"/>
        <v>0</v>
      </c>
      <c r="D24" s="231"/>
      <c r="E24" s="231"/>
      <c r="F24" s="232"/>
      <c r="G24" s="233"/>
      <c r="H24" s="234"/>
      <c r="I24" s="235"/>
      <c r="J24" s="235"/>
      <c r="K24" s="236"/>
      <c r="L24" s="237"/>
    </row>
    <row r="25" spans="1:16" ht="30">
      <c r="A25" s="141" t="s">
        <v>138</v>
      </c>
      <c r="B25" s="130" t="s">
        <v>179</v>
      </c>
      <c r="C25" s="153">
        <f t="shared" si="1"/>
        <v>156</v>
      </c>
      <c r="D25" s="154"/>
      <c r="E25" s="154"/>
      <c r="F25" s="194"/>
      <c r="G25" s="212"/>
      <c r="H25" s="196">
        <v>156</v>
      </c>
      <c r="I25" s="197"/>
      <c r="J25" s="197"/>
      <c r="K25" s="213"/>
      <c r="L25" s="198" t="s">
        <v>168</v>
      </c>
      <c r="M25" s="4"/>
      <c r="N25" s="4"/>
      <c r="O25" s="4"/>
      <c r="P25" s="4"/>
    </row>
    <row r="26" spans="1:16">
      <c r="A26" s="141" t="s">
        <v>14</v>
      </c>
      <c r="B26" s="130" t="s">
        <v>182</v>
      </c>
      <c r="C26" s="153">
        <f t="shared" si="1"/>
        <v>5</v>
      </c>
      <c r="D26" s="154"/>
      <c r="E26" s="154"/>
      <c r="F26" s="194"/>
      <c r="G26" s="195"/>
      <c r="H26" s="196">
        <v>5</v>
      </c>
      <c r="I26" s="197">
        <v>5</v>
      </c>
      <c r="J26" s="197">
        <v>35</v>
      </c>
      <c r="K26" s="213" t="s">
        <v>143</v>
      </c>
      <c r="L26" s="198"/>
      <c r="M26" s="4"/>
      <c r="N26" s="4"/>
      <c r="O26" s="4"/>
      <c r="P26" s="4"/>
    </row>
    <row r="27" spans="1:16" s="238" customFormat="1">
      <c r="A27" s="229" t="s">
        <v>15</v>
      </c>
      <c r="B27" s="230"/>
      <c r="C27" s="153">
        <f t="shared" si="1"/>
        <v>0</v>
      </c>
      <c r="D27" s="231"/>
      <c r="E27" s="231"/>
      <c r="F27" s="232"/>
      <c r="G27" s="233"/>
      <c r="H27" s="234"/>
      <c r="I27" s="235"/>
      <c r="J27" s="235"/>
      <c r="K27" s="236"/>
      <c r="L27" s="237"/>
    </row>
    <row r="28" spans="1:16">
      <c r="A28" s="141" t="s">
        <v>16</v>
      </c>
      <c r="B28" s="130" t="s">
        <v>172</v>
      </c>
      <c r="C28" s="153">
        <f t="shared" si="1"/>
        <v>1.5</v>
      </c>
      <c r="D28" s="154"/>
      <c r="E28" s="154"/>
      <c r="F28" s="194"/>
      <c r="G28" s="195"/>
      <c r="H28" s="196">
        <v>1.5</v>
      </c>
      <c r="I28" s="197"/>
      <c r="J28" s="197"/>
      <c r="K28" s="213"/>
      <c r="L28" s="198"/>
      <c r="M28" s="4"/>
      <c r="N28" s="4"/>
      <c r="O28" s="4"/>
      <c r="P28" s="4"/>
    </row>
    <row r="29" spans="1:16">
      <c r="A29" s="141" t="s">
        <v>17</v>
      </c>
      <c r="B29" s="130" t="s">
        <v>176</v>
      </c>
      <c r="C29" s="153">
        <f t="shared" si="1"/>
        <v>60</v>
      </c>
      <c r="D29" s="154"/>
      <c r="E29" s="154"/>
      <c r="F29" s="194"/>
      <c r="G29" s="195"/>
      <c r="H29" s="196">
        <v>60</v>
      </c>
      <c r="I29" s="197"/>
      <c r="J29" s="197"/>
      <c r="K29" s="213"/>
      <c r="L29" s="198"/>
      <c r="M29" s="4"/>
      <c r="N29" s="4"/>
      <c r="O29" s="4"/>
      <c r="P29" s="4"/>
    </row>
    <row r="30" spans="1:16">
      <c r="A30" s="141" t="s">
        <v>18</v>
      </c>
      <c r="B30" s="218" t="s">
        <v>187</v>
      </c>
      <c r="C30" s="153">
        <f t="shared" si="1"/>
        <v>1.5</v>
      </c>
      <c r="D30" s="154"/>
      <c r="E30" s="154"/>
      <c r="F30" s="194"/>
      <c r="G30" s="195"/>
      <c r="H30" s="196">
        <v>1.5</v>
      </c>
      <c r="I30" s="197"/>
      <c r="J30" s="197"/>
      <c r="K30" s="213"/>
      <c r="L30" s="198"/>
      <c r="M30" s="4"/>
      <c r="N30" s="4"/>
      <c r="O30" s="4"/>
      <c r="P30" s="4"/>
    </row>
    <row r="31" spans="1:16">
      <c r="A31" s="141" t="s">
        <v>19</v>
      </c>
      <c r="B31" s="130" t="s">
        <v>176</v>
      </c>
      <c r="C31" s="153">
        <f t="shared" si="1"/>
        <v>172.5</v>
      </c>
      <c r="D31" s="154"/>
      <c r="E31" s="154"/>
      <c r="F31" s="194"/>
      <c r="G31" s="195"/>
      <c r="H31" s="196">
        <v>172.5</v>
      </c>
      <c r="I31" s="197"/>
      <c r="J31" s="197"/>
      <c r="K31" s="213"/>
      <c r="L31" s="198"/>
      <c r="M31" s="4"/>
      <c r="N31" s="4"/>
      <c r="O31" s="4"/>
      <c r="P31" s="4"/>
    </row>
    <row r="32" spans="1:16">
      <c r="A32" s="141" t="s">
        <v>139</v>
      </c>
      <c r="B32" s="217" t="s">
        <v>184</v>
      </c>
      <c r="C32" s="153">
        <f t="shared" si="1"/>
        <v>2</v>
      </c>
      <c r="D32" s="154"/>
      <c r="E32" s="154"/>
      <c r="F32" s="194"/>
      <c r="G32" s="195"/>
      <c r="H32" s="196">
        <v>2</v>
      </c>
      <c r="I32" s="197"/>
      <c r="J32" s="197"/>
      <c r="K32" s="213"/>
      <c r="L32" s="198"/>
      <c r="M32" s="4"/>
      <c r="N32" s="4"/>
      <c r="O32" s="4"/>
      <c r="P32" s="4"/>
    </row>
    <row r="33" spans="1:16">
      <c r="A33" s="141" t="s">
        <v>140</v>
      </c>
      <c r="B33" s="130" t="s">
        <v>176</v>
      </c>
      <c r="C33" s="153">
        <f t="shared" si="1"/>
        <v>68</v>
      </c>
      <c r="D33" s="154"/>
      <c r="E33" s="154"/>
      <c r="F33" s="194"/>
      <c r="G33" s="195"/>
      <c r="H33" s="196">
        <v>68</v>
      </c>
      <c r="I33" s="197"/>
      <c r="J33" s="197"/>
      <c r="K33" s="213"/>
      <c r="L33" s="198"/>
      <c r="M33" s="4"/>
      <c r="N33" s="4"/>
      <c r="O33" s="4"/>
      <c r="P33" s="4"/>
    </row>
    <row r="34" spans="1:16" s="238" customFormat="1" ht="30">
      <c r="A34" s="229" t="s">
        <v>20</v>
      </c>
      <c r="B34" s="230"/>
      <c r="C34" s="153">
        <f t="shared" si="1"/>
        <v>0</v>
      </c>
      <c r="D34" s="231"/>
      <c r="E34" s="231"/>
      <c r="F34" s="232"/>
      <c r="G34" s="233"/>
      <c r="H34" s="234"/>
      <c r="I34" s="235"/>
      <c r="J34" s="235"/>
      <c r="K34" s="236"/>
      <c r="L34" s="237"/>
    </row>
    <row r="35" spans="1:16">
      <c r="A35" s="141" t="s">
        <v>21</v>
      </c>
      <c r="B35" s="130" t="s">
        <v>175</v>
      </c>
      <c r="C35" s="153">
        <f t="shared" si="1"/>
        <v>100</v>
      </c>
      <c r="D35" s="154"/>
      <c r="E35" s="154"/>
      <c r="F35" s="194"/>
      <c r="G35" s="195"/>
      <c r="H35" s="196">
        <v>100</v>
      </c>
      <c r="I35" s="197"/>
      <c r="J35" s="197"/>
      <c r="K35" s="213"/>
      <c r="L35" s="198"/>
      <c r="M35" s="4"/>
      <c r="N35" s="4"/>
      <c r="O35" s="4"/>
      <c r="P35" s="4"/>
    </row>
    <row r="36" spans="1:16">
      <c r="A36" s="141" t="s">
        <v>22</v>
      </c>
      <c r="B36" s="130" t="s">
        <v>176</v>
      </c>
      <c r="C36" s="153">
        <f t="shared" si="1"/>
        <v>75</v>
      </c>
      <c r="D36" s="154"/>
      <c r="E36" s="154"/>
      <c r="F36" s="194"/>
      <c r="G36" s="195"/>
      <c r="H36" s="196">
        <v>75</v>
      </c>
      <c r="I36" s="197"/>
      <c r="J36" s="197"/>
      <c r="K36" s="213"/>
      <c r="L36" s="198"/>
      <c r="M36" s="4"/>
      <c r="N36" s="4"/>
      <c r="O36" s="4"/>
      <c r="P36" s="4"/>
    </row>
    <row r="37" spans="1:16">
      <c r="A37" s="141" t="s">
        <v>23</v>
      </c>
      <c r="B37" s="130" t="s">
        <v>43</v>
      </c>
      <c r="C37" s="153">
        <f t="shared" si="1"/>
        <v>0</v>
      </c>
      <c r="D37" s="154"/>
      <c r="E37" s="154"/>
      <c r="F37" s="194"/>
      <c r="G37" s="195"/>
      <c r="H37" s="196"/>
      <c r="I37" s="197"/>
      <c r="J37" s="197"/>
      <c r="K37" s="213"/>
      <c r="L37" s="198"/>
      <c r="M37" s="4"/>
      <c r="N37" s="4"/>
      <c r="O37" s="4"/>
      <c r="P37" s="4"/>
    </row>
    <row r="38" spans="1:16">
      <c r="A38" s="141" t="s">
        <v>24</v>
      </c>
      <c r="B38" s="130" t="s">
        <v>176</v>
      </c>
      <c r="C38" s="153">
        <f t="shared" si="1"/>
        <v>0</v>
      </c>
      <c r="D38" s="154"/>
      <c r="E38" s="154"/>
      <c r="F38" s="194"/>
      <c r="G38" s="195"/>
      <c r="H38" s="196"/>
      <c r="I38" s="197"/>
      <c r="J38" s="197"/>
      <c r="K38" s="213"/>
      <c r="L38" s="198"/>
      <c r="M38" s="4"/>
      <c r="N38" s="4"/>
      <c r="O38" s="4"/>
      <c r="P38" s="4"/>
    </row>
    <row r="39" spans="1:16">
      <c r="A39" s="141" t="s">
        <v>25</v>
      </c>
      <c r="B39" s="130" t="s">
        <v>43</v>
      </c>
      <c r="C39" s="153">
        <f t="shared" si="1"/>
        <v>0</v>
      </c>
      <c r="D39" s="154"/>
      <c r="E39" s="154"/>
      <c r="F39" s="194"/>
      <c r="G39" s="195"/>
      <c r="H39" s="196"/>
      <c r="I39" s="197"/>
      <c r="J39" s="197"/>
      <c r="K39" s="213"/>
      <c r="L39" s="198"/>
      <c r="M39" s="4"/>
      <c r="N39" s="4"/>
      <c r="O39" s="4"/>
      <c r="P39" s="4"/>
    </row>
    <row r="40" spans="1:16">
      <c r="A40" s="141" t="s">
        <v>26</v>
      </c>
      <c r="B40" s="130" t="s">
        <v>176</v>
      </c>
      <c r="C40" s="153">
        <f t="shared" si="1"/>
        <v>0</v>
      </c>
      <c r="D40" s="154"/>
      <c r="E40" s="154"/>
      <c r="F40" s="194"/>
      <c r="G40" s="195"/>
      <c r="H40" s="196"/>
      <c r="I40" s="197"/>
      <c r="J40" s="197"/>
      <c r="K40" s="213"/>
      <c r="L40" s="198"/>
      <c r="M40" s="4"/>
      <c r="N40" s="4"/>
      <c r="O40" s="4"/>
      <c r="P40" s="4"/>
    </row>
    <row r="41" spans="1:16" s="238" customFormat="1">
      <c r="A41" s="229" t="s">
        <v>27</v>
      </c>
      <c r="B41" s="230"/>
      <c r="C41" s="153">
        <f t="shared" si="1"/>
        <v>0</v>
      </c>
      <c r="D41" s="231"/>
      <c r="E41" s="231"/>
      <c r="F41" s="232"/>
      <c r="G41" s="233"/>
      <c r="H41" s="234"/>
      <c r="I41" s="235"/>
      <c r="J41" s="235"/>
      <c r="K41" s="236"/>
      <c r="L41" s="237"/>
    </row>
    <row r="42" spans="1:16" ht="60">
      <c r="A42" s="141" t="s">
        <v>28</v>
      </c>
      <c r="B42" s="130" t="s">
        <v>180</v>
      </c>
      <c r="C42" s="153">
        <f t="shared" si="1"/>
        <v>52416</v>
      </c>
      <c r="D42" s="154"/>
      <c r="E42" s="154"/>
      <c r="F42" s="194"/>
      <c r="G42" s="195"/>
      <c r="H42" s="196">
        <v>52416</v>
      </c>
      <c r="I42" s="197"/>
      <c r="J42" s="197"/>
      <c r="K42" s="213" t="s">
        <v>205</v>
      </c>
      <c r="L42" s="198" t="s">
        <v>149</v>
      </c>
      <c r="M42" s="4"/>
      <c r="N42" s="4"/>
      <c r="O42" s="4"/>
      <c r="P42" s="4"/>
    </row>
    <row r="43" spans="1:16" ht="31" thickBot="1">
      <c r="A43" s="141" t="s">
        <v>29</v>
      </c>
      <c r="B43" s="130" t="s">
        <v>176</v>
      </c>
      <c r="C43" s="153">
        <f t="shared" si="1"/>
        <v>4455</v>
      </c>
      <c r="D43" s="154"/>
      <c r="E43" s="154"/>
      <c r="F43" s="194"/>
      <c r="G43" s="195"/>
      <c r="H43" s="196">
        <v>4455</v>
      </c>
      <c r="I43" s="197"/>
      <c r="J43" s="197"/>
      <c r="K43" s="213" t="s">
        <v>146</v>
      </c>
      <c r="L43" s="198"/>
      <c r="M43" s="4"/>
      <c r="N43" s="4"/>
      <c r="O43" s="4"/>
      <c r="P43" s="4"/>
    </row>
    <row r="44" spans="1:16" s="9" customFormat="1" ht="16" thickBot="1">
      <c r="A44" s="142" t="s">
        <v>30</v>
      </c>
      <c r="B44" s="143"/>
      <c r="C44" s="199"/>
      <c r="D44" s="200"/>
      <c r="E44" s="200"/>
      <c r="F44" s="201"/>
      <c r="G44" s="201"/>
      <c r="H44" s="202"/>
      <c r="I44" s="203"/>
      <c r="J44" s="203"/>
      <c r="K44" s="215"/>
      <c r="L44" s="204"/>
    </row>
    <row r="45" spans="1:16" ht="30">
      <c r="A45" s="141" t="s">
        <v>196</v>
      </c>
      <c r="B45" s="130" t="s">
        <v>174</v>
      </c>
      <c r="C45" s="153">
        <f t="shared" ref="C45:C50" si="2">H45</f>
        <v>30</v>
      </c>
      <c r="D45" s="154"/>
      <c r="E45" s="154"/>
      <c r="F45" s="194"/>
      <c r="G45" s="195"/>
      <c r="H45" s="196">
        <v>30</v>
      </c>
      <c r="I45" s="197"/>
      <c r="J45" s="197"/>
      <c r="K45" s="213"/>
      <c r="L45" s="198" t="s">
        <v>147</v>
      </c>
      <c r="M45" s="4"/>
      <c r="N45" s="4"/>
      <c r="O45" s="4"/>
      <c r="P45" s="4"/>
    </row>
    <row r="46" spans="1:16" ht="45">
      <c r="A46" s="141" t="s">
        <v>197</v>
      </c>
      <c r="B46" s="130" t="s">
        <v>176</v>
      </c>
      <c r="C46" s="153">
        <f t="shared" si="2"/>
        <v>360</v>
      </c>
      <c r="D46" s="154"/>
      <c r="E46" s="154"/>
      <c r="F46" s="194"/>
      <c r="G46" s="195"/>
      <c r="H46" s="196">
        <v>360</v>
      </c>
      <c r="I46" s="197"/>
      <c r="J46" s="197"/>
      <c r="K46" s="213" t="s">
        <v>148</v>
      </c>
      <c r="L46" s="198"/>
      <c r="M46" s="4"/>
      <c r="N46" s="4"/>
      <c r="O46" s="4"/>
      <c r="P46" s="4"/>
    </row>
    <row r="47" spans="1:16">
      <c r="A47" s="141" t="s">
        <v>198</v>
      </c>
      <c r="B47" s="130" t="s">
        <v>174</v>
      </c>
      <c r="C47" s="153">
        <f t="shared" si="2"/>
        <v>24</v>
      </c>
      <c r="D47" s="154"/>
      <c r="E47" s="154"/>
      <c r="F47" s="194"/>
      <c r="G47" s="195"/>
      <c r="H47" s="196">
        <v>24</v>
      </c>
      <c r="I47" s="197"/>
      <c r="J47" s="197"/>
      <c r="K47" s="213"/>
      <c r="L47" s="198" t="s">
        <v>167</v>
      </c>
      <c r="M47" s="4"/>
      <c r="N47" s="4"/>
      <c r="O47" s="4"/>
      <c r="P47" s="4"/>
    </row>
    <row r="48" spans="1:16" ht="45">
      <c r="A48" s="141" t="s">
        <v>199</v>
      </c>
      <c r="B48" s="130" t="s">
        <v>171</v>
      </c>
      <c r="C48" s="153">
        <f t="shared" si="2"/>
        <v>0</v>
      </c>
      <c r="D48" s="154"/>
      <c r="E48" s="154"/>
      <c r="F48" s="194"/>
      <c r="G48" s="195"/>
      <c r="H48" s="196">
        <v>0</v>
      </c>
      <c r="I48" s="197"/>
      <c r="J48" s="197"/>
      <c r="K48" s="213"/>
      <c r="L48" s="198" t="s">
        <v>166</v>
      </c>
      <c r="M48" s="4"/>
      <c r="N48" s="4"/>
      <c r="O48" s="4"/>
      <c r="P48" s="4"/>
    </row>
    <row r="49" spans="1:16" ht="30">
      <c r="A49" s="141" t="s">
        <v>130</v>
      </c>
      <c r="B49" s="130" t="s">
        <v>170</v>
      </c>
      <c r="C49" s="153">
        <f t="shared" si="2"/>
        <v>1</v>
      </c>
      <c r="D49" s="154"/>
      <c r="E49" s="154"/>
      <c r="F49" s="194"/>
      <c r="G49" s="195"/>
      <c r="H49" s="196">
        <v>1</v>
      </c>
      <c r="I49" s="197"/>
      <c r="J49" s="197"/>
      <c r="K49" s="213"/>
      <c r="L49" s="198" t="s">
        <v>144</v>
      </c>
      <c r="M49" s="4"/>
      <c r="N49" s="4"/>
      <c r="O49" s="4"/>
      <c r="P49" s="4"/>
    </row>
    <row r="50" spans="1:16" ht="16" thickBot="1">
      <c r="A50" s="141" t="s">
        <v>192</v>
      </c>
      <c r="B50" s="130" t="s">
        <v>171</v>
      </c>
      <c r="C50" s="153">
        <f t="shared" si="2"/>
        <v>3</v>
      </c>
      <c r="D50" s="154"/>
      <c r="E50" s="154"/>
      <c r="F50" s="194"/>
      <c r="G50" s="195"/>
      <c r="H50" s="196">
        <v>3</v>
      </c>
      <c r="I50" s="197"/>
      <c r="J50" s="197"/>
      <c r="K50" s="213"/>
      <c r="L50" s="198"/>
      <c r="M50" s="4"/>
      <c r="N50" s="4"/>
      <c r="O50" s="4"/>
      <c r="P50" s="4"/>
    </row>
    <row r="51" spans="1:16" s="9" customFormat="1" ht="16" thickBot="1">
      <c r="A51" s="142" t="s">
        <v>181</v>
      </c>
      <c r="B51" s="143"/>
      <c r="C51" s="199"/>
      <c r="D51" s="200"/>
      <c r="E51" s="200"/>
      <c r="F51" s="201"/>
      <c r="G51" s="201"/>
      <c r="H51" s="202"/>
      <c r="I51" s="203"/>
      <c r="J51" s="203"/>
      <c r="K51" s="215"/>
      <c r="L51" s="204"/>
    </row>
    <row r="52" spans="1:16">
      <c r="A52" s="141" t="s">
        <v>31</v>
      </c>
      <c r="B52" s="130" t="s">
        <v>43</v>
      </c>
      <c r="C52" s="153">
        <f t="shared" ref="C52:C60" si="3">H52</f>
        <v>0</v>
      </c>
      <c r="D52" s="154"/>
      <c r="E52" s="154"/>
      <c r="F52" s="194"/>
      <c r="G52" s="195"/>
      <c r="H52" s="196"/>
      <c r="I52" s="197"/>
      <c r="J52" s="197"/>
      <c r="K52" s="213"/>
      <c r="L52" s="198"/>
      <c r="M52" s="4"/>
      <c r="N52" s="4"/>
      <c r="O52" s="4"/>
      <c r="P52" s="4"/>
    </row>
    <row r="53" spans="1:16">
      <c r="A53" s="141" t="s">
        <v>32</v>
      </c>
      <c r="B53" s="130" t="s">
        <v>43</v>
      </c>
      <c r="C53" s="153">
        <f t="shared" si="3"/>
        <v>0</v>
      </c>
      <c r="D53" s="154"/>
      <c r="E53" s="154"/>
      <c r="F53" s="194"/>
      <c r="G53" s="195"/>
      <c r="H53" s="196"/>
      <c r="I53" s="197"/>
      <c r="J53" s="197"/>
      <c r="K53" s="213"/>
      <c r="L53" s="198"/>
      <c r="M53" s="4"/>
      <c r="N53" s="4"/>
      <c r="O53" s="4"/>
      <c r="P53" s="4"/>
    </row>
    <row r="54" spans="1:16">
      <c r="A54" s="141" t="s">
        <v>33</v>
      </c>
      <c r="B54" s="130"/>
      <c r="C54" s="153">
        <f t="shared" si="3"/>
        <v>0</v>
      </c>
      <c r="D54" s="154"/>
      <c r="E54" s="154"/>
      <c r="F54" s="194"/>
      <c r="G54" s="195"/>
      <c r="H54" s="196"/>
      <c r="I54" s="197"/>
      <c r="J54" s="197"/>
      <c r="K54" s="213"/>
      <c r="L54" s="198"/>
      <c r="M54" s="4"/>
      <c r="N54" s="4"/>
      <c r="O54" s="4"/>
      <c r="P54" s="4"/>
    </row>
    <row r="55" spans="1:16" ht="30">
      <c r="A55" s="141" t="s">
        <v>141</v>
      </c>
      <c r="B55" s="130" t="s">
        <v>43</v>
      </c>
      <c r="C55" s="153">
        <f t="shared" si="3"/>
        <v>0</v>
      </c>
      <c r="D55" s="154"/>
      <c r="E55" s="154"/>
      <c r="F55" s="194"/>
      <c r="G55" s="195"/>
      <c r="H55" s="196"/>
      <c r="I55" s="197"/>
      <c r="J55" s="197"/>
      <c r="K55" s="213"/>
      <c r="L55" s="198"/>
      <c r="M55" s="4"/>
      <c r="N55" s="4"/>
      <c r="O55" s="4"/>
      <c r="P55" s="4"/>
    </row>
    <row r="56" spans="1:16">
      <c r="A56" s="141" t="s">
        <v>35</v>
      </c>
      <c r="B56" s="130" t="s">
        <v>43</v>
      </c>
      <c r="C56" s="153">
        <f t="shared" si="3"/>
        <v>0</v>
      </c>
      <c r="D56" s="154"/>
      <c r="E56" s="154"/>
      <c r="F56" s="194"/>
      <c r="G56" s="195"/>
      <c r="H56" s="196"/>
      <c r="I56" s="197"/>
      <c r="J56" s="197"/>
      <c r="K56" s="213"/>
      <c r="L56" s="198"/>
      <c r="M56" s="4"/>
      <c r="N56" s="4"/>
      <c r="O56" s="4"/>
      <c r="P56" s="4"/>
    </row>
    <row r="57" spans="1:16" ht="16" thickBot="1">
      <c r="A57" s="141" t="s">
        <v>36</v>
      </c>
      <c r="B57" s="130" t="s">
        <v>191</v>
      </c>
      <c r="C57" s="153">
        <f t="shared" si="3"/>
        <v>0</v>
      </c>
      <c r="D57" s="154"/>
      <c r="E57" s="154"/>
      <c r="F57" s="194"/>
      <c r="G57" s="195"/>
      <c r="H57" s="196"/>
      <c r="I57" s="197"/>
      <c r="J57" s="197"/>
      <c r="K57" s="213"/>
      <c r="L57" s="198"/>
      <c r="M57" s="4"/>
      <c r="N57" s="4"/>
      <c r="O57" s="4"/>
      <c r="P57" s="4"/>
    </row>
    <row r="58" spans="1:16" s="9" customFormat="1" ht="16" thickBot="1">
      <c r="A58" s="142" t="s">
        <v>37</v>
      </c>
      <c r="B58" s="143"/>
      <c r="C58" s="242"/>
      <c r="D58" s="200"/>
      <c r="E58" s="200"/>
      <c r="F58" s="155"/>
      <c r="G58" s="201"/>
      <c r="H58" s="202"/>
      <c r="I58" s="203"/>
      <c r="J58" s="203"/>
      <c r="K58" s="215"/>
      <c r="L58" s="204"/>
    </row>
    <row r="59" spans="1:16">
      <c r="A59" s="141" t="s">
        <v>38</v>
      </c>
      <c r="B59" s="130" t="s">
        <v>43</v>
      </c>
      <c r="C59" s="153">
        <f t="shared" si="3"/>
        <v>0</v>
      </c>
      <c r="D59" s="154"/>
      <c r="E59" s="154"/>
      <c r="F59" s="194"/>
      <c r="G59" s="195"/>
      <c r="H59" s="196"/>
      <c r="I59" s="197"/>
      <c r="J59" s="197"/>
      <c r="K59" s="213"/>
      <c r="L59" s="198"/>
      <c r="M59" s="4"/>
      <c r="N59" s="4"/>
      <c r="O59" s="4"/>
      <c r="P59" s="4"/>
    </row>
    <row r="60" spans="1:16" ht="30">
      <c r="A60" s="141" t="s">
        <v>39</v>
      </c>
      <c r="B60" s="130" t="s">
        <v>43</v>
      </c>
      <c r="C60" s="153">
        <f t="shared" si="3"/>
        <v>0</v>
      </c>
      <c r="D60" s="154"/>
      <c r="E60" s="154"/>
      <c r="F60" s="194"/>
      <c r="G60" s="195"/>
      <c r="H60" s="196"/>
      <c r="I60" s="197"/>
      <c r="J60" s="197"/>
      <c r="K60" s="213"/>
      <c r="L60" s="198"/>
      <c r="M60" s="4"/>
      <c r="N60" s="4"/>
      <c r="O60" s="4"/>
      <c r="P60" s="4"/>
    </row>
    <row r="61" spans="1:16">
      <c r="A61" s="145"/>
      <c r="B61" s="144"/>
      <c r="C61" s="113"/>
    </row>
    <row r="62" spans="1:16">
      <c r="A62" s="145"/>
      <c r="B62" s="144"/>
      <c r="C62" s="113"/>
    </row>
    <row r="63" spans="1:16">
      <c r="A63" s="145"/>
      <c r="B63" s="144"/>
      <c r="C63" s="113"/>
    </row>
    <row r="64" spans="1:16">
      <c r="A64" s="145"/>
      <c r="B64" s="144"/>
      <c r="C64" s="4"/>
      <c r="D64" s="4"/>
      <c r="E64" s="4"/>
      <c r="F64" s="113"/>
      <c r="G64" s="4"/>
      <c r="H64" s="4"/>
      <c r="I64" s="4"/>
      <c r="J64" s="4"/>
      <c r="K64" s="113"/>
      <c r="L64" s="4"/>
      <c r="M64" s="4"/>
      <c r="N64" s="4"/>
      <c r="O64" s="4"/>
      <c r="P64" s="4"/>
    </row>
    <row r="65" spans="1:16">
      <c r="A65" s="145"/>
      <c r="B65" s="144"/>
      <c r="C65" s="4"/>
      <c r="D65" s="4"/>
      <c r="E65" s="4"/>
      <c r="F65" s="113"/>
      <c r="G65" s="4"/>
      <c r="H65" s="4"/>
      <c r="I65" s="4"/>
      <c r="J65" s="4"/>
      <c r="K65" s="113"/>
      <c r="L65" s="4"/>
      <c r="M65" s="4"/>
      <c r="N65" s="4"/>
      <c r="O65" s="4"/>
      <c r="P65" s="4"/>
    </row>
    <row r="66" spans="1:16">
      <c r="A66" s="145"/>
      <c r="B66" s="144"/>
      <c r="C66" s="4"/>
      <c r="D66" s="4"/>
      <c r="E66" s="4"/>
      <c r="F66" s="113"/>
      <c r="G66" s="4"/>
      <c r="H66" s="4"/>
      <c r="I66" s="4"/>
      <c r="J66" s="4"/>
      <c r="K66" s="113"/>
      <c r="L66" s="4"/>
      <c r="M66" s="4"/>
      <c r="N66" s="4"/>
      <c r="O66" s="4"/>
      <c r="P66" s="4"/>
    </row>
    <row r="67" spans="1:16">
      <c r="A67" s="145"/>
      <c r="B67" s="144"/>
      <c r="C67" s="4"/>
      <c r="D67" s="4"/>
      <c r="E67" s="4"/>
      <c r="F67" s="113"/>
      <c r="G67" s="4"/>
      <c r="H67" s="4"/>
      <c r="I67" s="4"/>
      <c r="J67" s="4"/>
      <c r="K67" s="113"/>
      <c r="L67" s="4"/>
      <c r="M67" s="4"/>
      <c r="N67" s="4"/>
      <c r="O67" s="4"/>
      <c r="P67" s="4"/>
    </row>
    <row r="68" spans="1:16">
      <c r="A68" s="145"/>
      <c r="B68" s="144"/>
      <c r="C68" s="4"/>
      <c r="D68" s="4"/>
      <c r="E68" s="4"/>
      <c r="F68" s="113"/>
      <c r="G68" s="4"/>
      <c r="H68" s="4"/>
      <c r="I68" s="4"/>
      <c r="J68" s="4"/>
      <c r="K68" s="113"/>
      <c r="L68" s="4"/>
      <c r="M68" s="4"/>
      <c r="N68" s="4"/>
      <c r="O68" s="4"/>
      <c r="P68" s="4"/>
    </row>
    <row r="69" spans="1:16">
      <c r="A69" s="145"/>
      <c r="B69" s="144"/>
      <c r="C69" s="4"/>
      <c r="D69" s="4"/>
      <c r="E69" s="4"/>
      <c r="F69" s="113"/>
      <c r="G69" s="4"/>
      <c r="H69" s="4"/>
      <c r="I69" s="4"/>
      <c r="J69" s="4"/>
      <c r="K69" s="113"/>
      <c r="L69" s="4"/>
      <c r="M69" s="4"/>
      <c r="N69" s="4"/>
      <c r="O69" s="4"/>
      <c r="P69" s="4"/>
    </row>
    <row r="70" spans="1:16">
      <c r="A70" s="145"/>
      <c r="B70" s="144"/>
      <c r="C70" s="4"/>
      <c r="D70" s="4"/>
      <c r="E70" s="4"/>
      <c r="F70" s="113"/>
      <c r="G70" s="4"/>
      <c r="H70" s="4"/>
      <c r="I70" s="4"/>
      <c r="J70" s="4"/>
      <c r="K70" s="113"/>
      <c r="L70" s="4"/>
      <c r="M70" s="4"/>
      <c r="N70" s="4"/>
      <c r="O70" s="4"/>
      <c r="P70" s="4"/>
    </row>
    <row r="71" spans="1:16">
      <c r="A71" s="145"/>
      <c r="B71" s="144"/>
      <c r="C71" s="4"/>
      <c r="D71" s="4"/>
      <c r="E71" s="4"/>
      <c r="F71" s="113"/>
      <c r="G71" s="4"/>
      <c r="H71" s="4"/>
      <c r="I71" s="4"/>
      <c r="J71" s="4"/>
      <c r="K71" s="113"/>
      <c r="L71" s="4"/>
      <c r="M71" s="4"/>
      <c r="N71" s="4"/>
      <c r="O71" s="4"/>
      <c r="P71" s="4"/>
    </row>
    <row r="72" spans="1:16">
      <c r="A72" s="145"/>
      <c r="B72" s="144"/>
      <c r="C72" s="4"/>
      <c r="D72" s="4"/>
      <c r="E72" s="4"/>
      <c r="F72" s="113"/>
      <c r="G72" s="4"/>
      <c r="H72" s="4"/>
      <c r="I72" s="4"/>
      <c r="J72" s="4"/>
      <c r="K72" s="113"/>
      <c r="L72" s="4"/>
      <c r="M72" s="4"/>
      <c r="N72" s="4"/>
      <c r="O72" s="4"/>
      <c r="P72" s="4"/>
    </row>
    <row r="73" spans="1:16">
      <c r="A73" s="145"/>
      <c r="B73" s="144"/>
      <c r="C73" s="4"/>
      <c r="D73" s="4"/>
      <c r="E73" s="4"/>
      <c r="F73" s="113"/>
      <c r="G73" s="4"/>
      <c r="H73" s="4"/>
      <c r="I73" s="4"/>
      <c r="J73" s="4"/>
      <c r="K73" s="113"/>
      <c r="L73" s="4"/>
      <c r="M73" s="4"/>
      <c r="N73" s="4"/>
      <c r="O73" s="4"/>
      <c r="P73" s="4"/>
    </row>
    <row r="74" spans="1:16">
      <c r="A74" s="145"/>
      <c r="B74" s="144"/>
      <c r="C74" s="4"/>
      <c r="D74" s="4"/>
      <c r="E74" s="4"/>
      <c r="F74" s="113"/>
      <c r="G74" s="4"/>
      <c r="H74" s="4"/>
      <c r="I74" s="4"/>
      <c r="J74" s="4"/>
      <c r="K74" s="113"/>
      <c r="L74" s="4"/>
      <c r="M74" s="4"/>
      <c r="N74" s="4"/>
      <c r="O74" s="4"/>
      <c r="P74" s="4"/>
    </row>
    <row r="75" spans="1:16">
      <c r="A75" s="145"/>
      <c r="B75" s="144"/>
      <c r="C75" s="4"/>
      <c r="D75" s="4"/>
      <c r="E75" s="4"/>
      <c r="F75" s="113"/>
      <c r="G75" s="4"/>
      <c r="H75" s="4"/>
      <c r="I75" s="4"/>
      <c r="J75" s="4"/>
      <c r="K75" s="113"/>
      <c r="L75" s="4"/>
      <c r="M75" s="4"/>
      <c r="N75" s="4"/>
      <c r="O75" s="4"/>
      <c r="P75" s="4"/>
    </row>
    <row r="76" spans="1:16">
      <c r="A76" s="145"/>
      <c r="B76" s="144"/>
      <c r="C76" s="4"/>
      <c r="D76" s="4"/>
      <c r="E76" s="4"/>
      <c r="F76" s="113"/>
      <c r="G76" s="4"/>
      <c r="H76" s="4"/>
      <c r="I76" s="4"/>
      <c r="J76" s="4"/>
      <c r="K76" s="113"/>
      <c r="L76" s="4"/>
      <c r="M76" s="4"/>
      <c r="N76" s="4"/>
      <c r="O76" s="4"/>
      <c r="P76" s="4"/>
    </row>
  </sheetData>
  <mergeCells count="2">
    <mergeCell ref="G5:G6"/>
    <mergeCell ref="L5:L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499984740745262"/>
  </sheetPr>
  <dimension ref="A1:L104"/>
  <sheetViews>
    <sheetView workbookViewId="0">
      <selection activeCell="C5" sqref="C5"/>
    </sheetView>
  </sheetViews>
  <sheetFormatPr baseColWidth="10" defaultRowHeight="15" x14ac:dyDescent="0"/>
  <cols>
    <col min="1" max="1" width="24" style="11" customWidth="1"/>
    <col min="2" max="2" width="17.1640625" style="20" customWidth="1"/>
    <col min="3" max="3" width="10.83203125" style="40" customWidth="1"/>
    <col min="4" max="5" width="10.83203125" style="20" customWidth="1"/>
    <col min="6" max="6" width="24.83203125" style="216" customWidth="1"/>
    <col min="7" max="7" width="24.83203125" style="26" customWidth="1"/>
    <col min="8" max="10" width="10.83203125" style="27"/>
    <col min="11" max="11" width="24.83203125" style="216" customWidth="1"/>
    <col min="12" max="12" width="24.83203125" style="26" customWidth="1"/>
    <col min="13" max="16384" width="10.83203125" style="4"/>
  </cols>
  <sheetData>
    <row r="1" spans="1:12" s="1" customFormat="1">
      <c r="A1" s="2" t="s">
        <v>6</v>
      </c>
      <c r="B1" s="19"/>
      <c r="C1" s="39"/>
      <c r="D1" s="19"/>
      <c r="E1" s="19"/>
      <c r="F1" s="25"/>
      <c r="G1" s="25"/>
      <c r="H1" s="19"/>
      <c r="I1" s="19"/>
      <c r="J1" s="19"/>
      <c r="K1" s="25"/>
      <c r="L1" s="25"/>
    </row>
    <row r="2" spans="1:12">
      <c r="A2" s="3"/>
    </row>
    <row r="3" spans="1:12">
      <c r="C3" s="41" t="s">
        <v>202</v>
      </c>
      <c r="D3" s="28"/>
      <c r="E3" s="28"/>
      <c r="F3" s="38"/>
      <c r="G3" s="190"/>
      <c r="H3" s="29" t="s">
        <v>201</v>
      </c>
      <c r="I3" s="30"/>
      <c r="J3" s="30"/>
      <c r="K3" s="214"/>
      <c r="L3" s="31"/>
    </row>
    <row r="4" spans="1:12" s="9" customFormat="1" ht="61" thickBot="1">
      <c r="A4" s="139" t="s">
        <v>0</v>
      </c>
      <c r="B4" s="140" t="s">
        <v>1</v>
      </c>
      <c r="C4" s="42" t="s">
        <v>2</v>
      </c>
      <c r="D4" s="5" t="s">
        <v>3</v>
      </c>
      <c r="E4" s="6" t="s">
        <v>4</v>
      </c>
      <c r="F4" s="5" t="s">
        <v>45</v>
      </c>
      <c r="G4" s="6" t="s">
        <v>5</v>
      </c>
      <c r="H4" s="7" t="s">
        <v>2</v>
      </c>
      <c r="I4" s="7" t="s">
        <v>3</v>
      </c>
      <c r="J4" s="7" t="s">
        <v>4</v>
      </c>
      <c r="K4" s="7" t="s">
        <v>45</v>
      </c>
      <c r="L4" s="8" t="s">
        <v>5</v>
      </c>
    </row>
    <row r="5" spans="1:12" s="9" customFormat="1" ht="75">
      <c r="A5" s="13" t="s">
        <v>124</v>
      </c>
      <c r="B5" s="14" t="s">
        <v>127</v>
      </c>
      <c r="C5" s="43"/>
      <c r="D5" s="21"/>
      <c r="E5" s="21"/>
      <c r="F5" s="15"/>
      <c r="G5" s="297" t="s">
        <v>231</v>
      </c>
      <c r="H5" s="23"/>
      <c r="I5" s="23"/>
      <c r="J5" s="23"/>
      <c r="K5" s="117"/>
      <c r="L5" s="299" t="s">
        <v>151</v>
      </c>
    </row>
    <row r="6" spans="1:12" s="9" customFormat="1" ht="45" customHeight="1" thickBot="1">
      <c r="A6" s="16" t="s">
        <v>40</v>
      </c>
      <c r="B6" s="17" t="s">
        <v>115</v>
      </c>
      <c r="C6" s="44"/>
      <c r="D6" s="22"/>
      <c r="E6" s="22"/>
      <c r="F6" s="18"/>
      <c r="G6" s="298"/>
      <c r="H6" s="24"/>
      <c r="I6" s="24"/>
      <c r="J6" s="24"/>
      <c r="K6" s="119"/>
      <c r="L6" s="300"/>
    </row>
    <row r="7" spans="1:12" ht="60">
      <c r="A7" s="141" t="s">
        <v>129</v>
      </c>
      <c r="B7" s="130" t="s">
        <v>169</v>
      </c>
      <c r="C7" s="153">
        <f>H7</f>
        <v>8</v>
      </c>
      <c r="D7" s="154"/>
      <c r="E7" s="154"/>
      <c r="F7" s="194"/>
      <c r="G7" s="195"/>
      <c r="H7" s="196">
        <v>8</v>
      </c>
      <c r="I7" s="197"/>
      <c r="J7" s="197"/>
      <c r="K7" s="213" t="s">
        <v>143</v>
      </c>
      <c r="L7" s="198" t="s">
        <v>190</v>
      </c>
    </row>
    <row r="8" spans="1:12">
      <c r="A8" s="141" t="s">
        <v>131</v>
      </c>
      <c r="B8" s="130" t="s">
        <v>169</v>
      </c>
      <c r="C8" s="240">
        <f>H8/(1+(4.6-3.1)/3.1)</f>
        <v>0.67391304347826098</v>
      </c>
      <c r="D8" s="154"/>
      <c r="E8" s="154"/>
      <c r="F8" s="194"/>
      <c r="G8" s="195"/>
      <c r="H8" s="196">
        <v>1</v>
      </c>
      <c r="I8" s="197"/>
      <c r="J8" s="197"/>
      <c r="K8" s="213" t="s">
        <v>165</v>
      </c>
      <c r="L8" s="198" t="s">
        <v>142</v>
      </c>
    </row>
    <row r="9" spans="1:12">
      <c r="A9" s="141" t="s">
        <v>132</v>
      </c>
      <c r="B9" s="130" t="s">
        <v>172</v>
      </c>
      <c r="C9" s="240">
        <f>H9/(1+(56.7-36.1)/36.1)</f>
        <v>0.95502645502645511</v>
      </c>
      <c r="D9" s="154"/>
      <c r="E9" s="154"/>
      <c r="F9" s="194"/>
      <c r="G9" s="195"/>
      <c r="H9" s="196">
        <v>1.5</v>
      </c>
      <c r="I9" s="197"/>
      <c r="J9" s="197"/>
      <c r="K9" s="213"/>
      <c r="L9" s="198" t="s">
        <v>145</v>
      </c>
    </row>
    <row r="10" spans="1:12">
      <c r="A10" s="141" t="s">
        <v>133</v>
      </c>
      <c r="B10" s="130" t="s">
        <v>176</v>
      </c>
      <c r="C10" s="244">
        <f>H10/H9*C9</f>
        <v>681.25220458553804</v>
      </c>
      <c r="D10" s="154"/>
      <c r="E10" s="154"/>
      <c r="F10" s="194"/>
      <c r="G10" s="195"/>
      <c r="H10" s="196">
        <v>1070</v>
      </c>
      <c r="I10" s="197"/>
      <c r="J10" s="197"/>
      <c r="K10" s="213"/>
      <c r="L10" s="198"/>
    </row>
    <row r="11" spans="1:12" s="9" customFormat="1" ht="46" thickBot="1">
      <c r="A11" s="141" t="s">
        <v>7</v>
      </c>
      <c r="B11" s="130" t="s">
        <v>191</v>
      </c>
      <c r="C11" s="153"/>
      <c r="D11" s="154"/>
      <c r="E11" s="154"/>
      <c r="F11" s="194"/>
      <c r="G11" s="195" t="s">
        <v>252</v>
      </c>
      <c r="H11" s="196"/>
      <c r="I11" s="197"/>
      <c r="J11" s="197"/>
      <c r="K11" s="213"/>
      <c r="L11" s="198"/>
    </row>
    <row r="12" spans="1:12" ht="31" thickBot="1">
      <c r="A12" s="142" t="s">
        <v>134</v>
      </c>
      <c r="B12" s="143"/>
      <c r="C12" s="199"/>
      <c r="D12" s="200"/>
      <c r="E12" s="200"/>
      <c r="F12" s="201"/>
      <c r="G12" s="201"/>
      <c r="H12" s="202"/>
      <c r="I12" s="203"/>
      <c r="J12" s="203"/>
      <c r="K12" s="215"/>
      <c r="L12" s="204"/>
    </row>
    <row r="13" spans="1:12" s="238" customFormat="1">
      <c r="A13" s="229" t="s">
        <v>8</v>
      </c>
      <c r="B13" s="230"/>
      <c r="C13" s="153">
        <f t="shared" ref="C13:C14" si="0">H13</f>
        <v>0</v>
      </c>
      <c r="D13" s="231"/>
      <c r="E13" s="231"/>
      <c r="F13" s="232"/>
      <c r="G13" s="233"/>
      <c r="H13" s="234"/>
      <c r="I13" s="235"/>
      <c r="J13" s="235"/>
      <c r="K13" s="236"/>
      <c r="L13" s="237"/>
    </row>
    <row r="14" spans="1:12">
      <c r="A14" s="141" t="s">
        <v>135</v>
      </c>
      <c r="B14" s="130" t="s">
        <v>173</v>
      </c>
      <c r="C14" s="153">
        <f t="shared" si="0"/>
        <v>8</v>
      </c>
      <c r="D14" s="154"/>
      <c r="E14" s="154"/>
      <c r="F14" s="194"/>
      <c r="G14" s="195"/>
      <c r="H14" s="196">
        <v>8</v>
      </c>
      <c r="I14" s="197"/>
      <c r="J14" s="197"/>
      <c r="K14" s="213"/>
      <c r="L14" s="198"/>
    </row>
    <row r="15" spans="1:12">
      <c r="A15" s="141" t="s">
        <v>136</v>
      </c>
      <c r="B15" s="130" t="s">
        <v>171</v>
      </c>
      <c r="C15" s="153">
        <f>H15</f>
        <v>40</v>
      </c>
      <c r="D15" s="154"/>
      <c r="E15" s="154"/>
      <c r="F15" s="194"/>
      <c r="G15" s="195"/>
      <c r="H15" s="196">
        <v>40</v>
      </c>
      <c r="I15" s="197">
        <v>30</v>
      </c>
      <c r="J15" s="197">
        <v>40</v>
      </c>
      <c r="K15" s="213" t="s">
        <v>143</v>
      </c>
      <c r="L15" s="198"/>
    </row>
    <row r="16" spans="1:12">
      <c r="A16" s="141" t="s">
        <v>9</v>
      </c>
      <c r="B16" s="130" t="s">
        <v>174</v>
      </c>
      <c r="C16" s="153">
        <f t="shared" ref="C16:C43" si="1">H16</f>
        <v>0</v>
      </c>
      <c r="D16" s="154"/>
      <c r="E16" s="154"/>
      <c r="F16" s="194"/>
      <c r="G16" s="195"/>
      <c r="H16" s="196"/>
      <c r="I16" s="197"/>
      <c r="J16" s="197"/>
      <c r="K16" s="213"/>
      <c r="L16" s="198"/>
    </row>
    <row r="17" spans="1:12">
      <c r="A17" s="141" t="s">
        <v>204</v>
      </c>
      <c r="B17" s="130" t="s">
        <v>177</v>
      </c>
      <c r="C17" s="153">
        <f t="shared" si="1"/>
        <v>0</v>
      </c>
      <c r="D17" s="154"/>
      <c r="E17" s="154"/>
      <c r="F17" s="194"/>
      <c r="G17" s="195"/>
      <c r="H17" s="196"/>
      <c r="I17" s="197"/>
      <c r="J17" s="197"/>
      <c r="K17" s="213"/>
      <c r="L17" s="198"/>
    </row>
    <row r="18" spans="1:12">
      <c r="A18" s="141" t="s">
        <v>10</v>
      </c>
      <c r="B18" s="130" t="s">
        <v>175</v>
      </c>
      <c r="C18" s="153">
        <f t="shared" si="1"/>
        <v>0</v>
      </c>
      <c r="D18" s="154"/>
      <c r="E18" s="154"/>
      <c r="F18" s="194"/>
      <c r="G18" s="195"/>
      <c r="H18" s="196"/>
      <c r="I18" s="197"/>
      <c r="J18" s="197"/>
      <c r="K18" s="213"/>
      <c r="L18" s="198"/>
    </row>
    <row r="19" spans="1:12">
      <c r="A19" s="141" t="s">
        <v>11</v>
      </c>
      <c r="B19" s="130" t="s">
        <v>176</v>
      </c>
      <c r="C19" s="153">
        <f t="shared" si="1"/>
        <v>0</v>
      </c>
      <c r="D19" s="154"/>
      <c r="E19" s="154"/>
      <c r="F19" s="194"/>
      <c r="G19" s="195"/>
      <c r="H19" s="196"/>
      <c r="I19" s="197"/>
      <c r="J19" s="197"/>
      <c r="K19" s="213"/>
      <c r="L19" s="198"/>
    </row>
    <row r="20" spans="1:12">
      <c r="A20" s="141" t="s">
        <v>12</v>
      </c>
      <c r="B20" s="130" t="s">
        <v>178</v>
      </c>
      <c r="C20" s="153">
        <f t="shared" si="1"/>
        <v>0</v>
      </c>
      <c r="D20" s="154"/>
      <c r="E20" s="154"/>
      <c r="F20" s="194"/>
      <c r="G20" s="195"/>
      <c r="H20" s="196"/>
      <c r="I20" s="197"/>
      <c r="J20" s="197"/>
      <c r="K20" s="213"/>
      <c r="L20" s="198"/>
    </row>
    <row r="21" spans="1:12">
      <c r="A21" s="141" t="s">
        <v>13</v>
      </c>
      <c r="B21" s="130" t="s">
        <v>176</v>
      </c>
      <c r="C21" s="153">
        <f t="shared" si="1"/>
        <v>0</v>
      </c>
      <c r="D21" s="154"/>
      <c r="E21" s="154"/>
      <c r="F21" s="194"/>
      <c r="G21" s="195"/>
      <c r="H21" s="196"/>
      <c r="I21" s="197"/>
      <c r="J21" s="197"/>
      <c r="K21" s="213"/>
      <c r="L21" s="198"/>
    </row>
    <row r="22" spans="1:12">
      <c r="A22" s="141" t="s">
        <v>108</v>
      </c>
      <c r="B22" s="130" t="s">
        <v>174</v>
      </c>
      <c r="C22" s="153">
        <f t="shared" si="1"/>
        <v>0</v>
      </c>
      <c r="D22" s="154"/>
      <c r="E22" s="154"/>
      <c r="F22" s="194"/>
      <c r="G22" s="195"/>
      <c r="H22" s="196"/>
      <c r="I22" s="197"/>
      <c r="J22" s="197"/>
      <c r="K22" s="213"/>
      <c r="L22" s="198"/>
    </row>
    <row r="23" spans="1:12">
      <c r="A23" s="141" t="s">
        <v>109</v>
      </c>
      <c r="B23" s="130" t="s">
        <v>176</v>
      </c>
      <c r="C23" s="153">
        <f t="shared" si="1"/>
        <v>0</v>
      </c>
      <c r="D23" s="154"/>
      <c r="E23" s="154"/>
      <c r="F23" s="194"/>
      <c r="G23" s="195"/>
      <c r="H23" s="196"/>
      <c r="I23" s="197"/>
      <c r="J23" s="197"/>
      <c r="K23" s="213"/>
      <c r="L23" s="198"/>
    </row>
    <row r="24" spans="1:12" s="238" customFormat="1">
      <c r="A24" s="229" t="s">
        <v>137</v>
      </c>
      <c r="B24" s="230"/>
      <c r="C24" s="153">
        <f t="shared" si="1"/>
        <v>0</v>
      </c>
      <c r="D24" s="231"/>
      <c r="E24" s="231"/>
      <c r="F24" s="232"/>
      <c r="G24" s="233"/>
      <c r="H24" s="234"/>
      <c r="I24" s="235"/>
      <c r="J24" s="235"/>
      <c r="K24" s="236"/>
      <c r="L24" s="237"/>
    </row>
    <row r="25" spans="1:12" s="9" customFormat="1" ht="30">
      <c r="A25" s="141" t="s">
        <v>138</v>
      </c>
      <c r="B25" s="130" t="s">
        <v>179</v>
      </c>
      <c r="C25" s="153">
        <f t="shared" si="1"/>
        <v>100</v>
      </c>
      <c r="D25" s="154"/>
      <c r="E25" s="154"/>
      <c r="F25" s="194"/>
      <c r="G25" s="212"/>
      <c r="H25" s="196">
        <v>100</v>
      </c>
      <c r="I25" s="197"/>
      <c r="J25" s="197"/>
      <c r="K25" s="213" t="s">
        <v>143</v>
      </c>
      <c r="L25" s="198" t="s">
        <v>168</v>
      </c>
    </row>
    <row r="26" spans="1:12">
      <c r="A26" s="141" t="s">
        <v>14</v>
      </c>
      <c r="B26" s="130" t="s">
        <v>182</v>
      </c>
      <c r="C26" s="153">
        <f t="shared" si="1"/>
        <v>3</v>
      </c>
      <c r="D26" s="154"/>
      <c r="E26" s="154"/>
      <c r="F26" s="194"/>
      <c r="G26" s="195"/>
      <c r="H26" s="196">
        <v>3</v>
      </c>
      <c r="I26" s="197">
        <v>1</v>
      </c>
      <c r="J26" s="197">
        <v>5</v>
      </c>
      <c r="K26" s="213" t="s">
        <v>143</v>
      </c>
      <c r="L26" s="198"/>
    </row>
    <row r="27" spans="1:12" s="238" customFormat="1">
      <c r="A27" s="229" t="s">
        <v>15</v>
      </c>
      <c r="B27" s="230"/>
      <c r="C27" s="153">
        <f t="shared" si="1"/>
        <v>0</v>
      </c>
      <c r="D27" s="231"/>
      <c r="E27" s="231"/>
      <c r="F27" s="232"/>
      <c r="G27" s="233"/>
      <c r="H27" s="234"/>
      <c r="I27" s="235"/>
      <c r="J27" s="235"/>
      <c r="K27" s="236"/>
      <c r="L27" s="237"/>
    </row>
    <row r="28" spans="1:12" s="9" customFormat="1">
      <c r="A28" s="141" t="s">
        <v>16</v>
      </c>
      <c r="B28" s="130" t="s">
        <v>172</v>
      </c>
      <c r="C28" s="153">
        <f t="shared" si="1"/>
        <v>1.5</v>
      </c>
      <c r="D28" s="154"/>
      <c r="E28" s="154"/>
      <c r="F28" s="194"/>
      <c r="G28" s="195"/>
      <c r="H28" s="196">
        <v>1.5</v>
      </c>
      <c r="I28" s="197"/>
      <c r="J28" s="197"/>
      <c r="K28" s="213"/>
      <c r="L28" s="198"/>
    </row>
    <row r="29" spans="1:12">
      <c r="A29" s="141" t="s">
        <v>17</v>
      </c>
      <c r="B29" s="130" t="s">
        <v>176</v>
      </c>
      <c r="C29" s="153">
        <f t="shared" si="1"/>
        <v>60</v>
      </c>
      <c r="D29" s="154"/>
      <c r="E29" s="154"/>
      <c r="F29" s="194"/>
      <c r="G29" s="195"/>
      <c r="H29" s="196">
        <v>60</v>
      </c>
      <c r="I29" s="197"/>
      <c r="J29" s="197"/>
      <c r="K29" s="213" t="s">
        <v>143</v>
      </c>
      <c r="L29" s="198"/>
    </row>
    <row r="30" spans="1:12">
      <c r="A30" s="141" t="s">
        <v>18</v>
      </c>
      <c r="B30" s="217" t="s">
        <v>185</v>
      </c>
      <c r="C30" s="153">
        <f t="shared" si="1"/>
        <v>1</v>
      </c>
      <c r="D30" s="154"/>
      <c r="E30" s="154"/>
      <c r="F30" s="194"/>
      <c r="G30" s="195"/>
      <c r="H30" s="196">
        <v>1</v>
      </c>
      <c r="I30" s="197"/>
      <c r="J30" s="197"/>
      <c r="K30" s="213"/>
      <c r="L30" s="198"/>
    </row>
    <row r="31" spans="1:12">
      <c r="A31" s="141" t="s">
        <v>19</v>
      </c>
      <c r="B31" s="130" t="s">
        <v>176</v>
      </c>
      <c r="C31" s="153">
        <f t="shared" si="1"/>
        <v>120</v>
      </c>
      <c r="D31" s="154"/>
      <c r="E31" s="154"/>
      <c r="F31" s="194"/>
      <c r="G31" s="195"/>
      <c r="H31" s="196">
        <v>120</v>
      </c>
      <c r="I31" s="197"/>
      <c r="J31" s="197"/>
      <c r="K31" s="213" t="s">
        <v>143</v>
      </c>
      <c r="L31" s="198"/>
    </row>
    <row r="32" spans="1:12">
      <c r="A32" s="141" t="s">
        <v>139</v>
      </c>
      <c r="B32" s="218" t="s">
        <v>186</v>
      </c>
      <c r="C32" s="153">
        <f t="shared" si="1"/>
        <v>500</v>
      </c>
      <c r="D32" s="154"/>
      <c r="E32" s="154"/>
      <c r="F32" s="194"/>
      <c r="G32" s="195"/>
      <c r="H32" s="196">
        <v>500</v>
      </c>
      <c r="I32" s="197"/>
      <c r="J32" s="197"/>
      <c r="K32" s="213"/>
      <c r="L32" s="198"/>
    </row>
    <row r="33" spans="1:12">
      <c r="A33" s="141" t="s">
        <v>140</v>
      </c>
      <c r="B33" s="130" t="s">
        <v>176</v>
      </c>
      <c r="C33" s="153">
        <f t="shared" si="1"/>
        <v>350</v>
      </c>
      <c r="D33" s="154"/>
      <c r="E33" s="154"/>
      <c r="F33" s="194"/>
      <c r="G33" s="195"/>
      <c r="H33" s="196">
        <v>350</v>
      </c>
      <c r="I33" s="197"/>
      <c r="J33" s="197"/>
      <c r="K33" s="213" t="s">
        <v>143</v>
      </c>
      <c r="L33" s="198"/>
    </row>
    <row r="34" spans="1:12" s="238" customFormat="1" ht="30">
      <c r="A34" s="229" t="s">
        <v>20</v>
      </c>
      <c r="B34" s="230"/>
      <c r="C34" s="153">
        <f t="shared" si="1"/>
        <v>0</v>
      </c>
      <c r="D34" s="231"/>
      <c r="E34" s="231"/>
      <c r="F34" s="232"/>
      <c r="G34" s="233"/>
      <c r="H34" s="234"/>
      <c r="I34" s="235"/>
      <c r="J34" s="235"/>
      <c r="K34" s="236"/>
      <c r="L34" s="237"/>
    </row>
    <row r="35" spans="1:12">
      <c r="A35" s="141" t="s">
        <v>21</v>
      </c>
      <c r="B35" s="130" t="s">
        <v>175</v>
      </c>
      <c r="C35" s="153">
        <f t="shared" si="1"/>
        <v>0</v>
      </c>
      <c r="D35" s="154"/>
      <c r="E35" s="154"/>
      <c r="F35" s="194"/>
      <c r="G35" s="195"/>
      <c r="H35" s="196"/>
      <c r="I35" s="197"/>
      <c r="J35" s="197"/>
      <c r="K35" s="213"/>
      <c r="L35" s="198"/>
    </row>
    <row r="36" spans="1:12">
      <c r="A36" s="141" t="s">
        <v>22</v>
      </c>
      <c r="B36" s="130" t="s">
        <v>176</v>
      </c>
      <c r="C36" s="153">
        <f t="shared" si="1"/>
        <v>0</v>
      </c>
      <c r="D36" s="154"/>
      <c r="E36" s="154"/>
      <c r="F36" s="194"/>
      <c r="G36" s="195"/>
      <c r="H36" s="196"/>
      <c r="I36" s="197"/>
      <c r="J36" s="197"/>
      <c r="K36" s="213"/>
      <c r="L36" s="198"/>
    </row>
    <row r="37" spans="1:12" s="9" customFormat="1">
      <c r="A37" s="141" t="s">
        <v>23</v>
      </c>
      <c r="B37" s="130" t="s">
        <v>43</v>
      </c>
      <c r="C37" s="153">
        <f t="shared" si="1"/>
        <v>0</v>
      </c>
      <c r="D37" s="154"/>
      <c r="E37" s="154"/>
      <c r="F37" s="194"/>
      <c r="G37" s="195"/>
      <c r="H37" s="196"/>
      <c r="I37" s="197"/>
      <c r="J37" s="197"/>
      <c r="K37" s="213"/>
      <c r="L37" s="198"/>
    </row>
    <row r="38" spans="1:12">
      <c r="A38" s="141" t="s">
        <v>24</v>
      </c>
      <c r="B38" s="130" t="s">
        <v>176</v>
      </c>
      <c r="C38" s="153">
        <f t="shared" si="1"/>
        <v>0</v>
      </c>
      <c r="D38" s="154"/>
      <c r="E38" s="154"/>
      <c r="F38" s="194"/>
      <c r="G38" s="195"/>
      <c r="H38" s="196"/>
      <c r="I38" s="197"/>
      <c r="J38" s="197"/>
      <c r="K38" s="213"/>
      <c r="L38" s="198"/>
    </row>
    <row r="39" spans="1:12">
      <c r="A39" s="141" t="s">
        <v>25</v>
      </c>
      <c r="B39" s="130" t="s">
        <v>43</v>
      </c>
      <c r="C39" s="153">
        <f t="shared" si="1"/>
        <v>0</v>
      </c>
      <c r="D39" s="154"/>
      <c r="E39" s="154"/>
      <c r="F39" s="194"/>
      <c r="G39" s="195"/>
      <c r="H39" s="196"/>
      <c r="I39" s="197"/>
      <c r="J39" s="197"/>
      <c r="K39" s="213"/>
      <c r="L39" s="198"/>
    </row>
    <row r="40" spans="1:12">
      <c r="A40" s="141" t="s">
        <v>26</v>
      </c>
      <c r="B40" s="130" t="s">
        <v>176</v>
      </c>
      <c r="C40" s="153">
        <f t="shared" si="1"/>
        <v>0</v>
      </c>
      <c r="D40" s="154"/>
      <c r="E40" s="154"/>
      <c r="F40" s="194"/>
      <c r="G40" s="195"/>
      <c r="H40" s="196"/>
      <c r="I40" s="197"/>
      <c r="J40" s="197"/>
      <c r="K40" s="213"/>
      <c r="L40" s="198"/>
    </row>
    <row r="41" spans="1:12" s="238" customFormat="1">
      <c r="A41" s="229" t="s">
        <v>27</v>
      </c>
      <c r="B41" s="230"/>
      <c r="C41" s="153">
        <f t="shared" si="1"/>
        <v>0</v>
      </c>
      <c r="D41" s="231"/>
      <c r="E41" s="231"/>
      <c r="F41" s="232"/>
      <c r="G41" s="233"/>
      <c r="H41" s="234"/>
      <c r="I41" s="235"/>
      <c r="J41" s="235"/>
      <c r="K41" s="236"/>
      <c r="L41" s="237"/>
    </row>
    <row r="42" spans="1:12" ht="60">
      <c r="A42" s="141" t="s">
        <v>28</v>
      </c>
      <c r="B42" s="130" t="s">
        <v>180</v>
      </c>
      <c r="C42" s="153">
        <f t="shared" si="1"/>
        <v>400</v>
      </c>
      <c r="D42" s="154"/>
      <c r="E42" s="154"/>
      <c r="F42" s="194"/>
      <c r="G42" s="195"/>
      <c r="H42" s="196">
        <v>400</v>
      </c>
      <c r="I42" s="197"/>
      <c r="J42" s="197"/>
      <c r="K42" s="213" t="s">
        <v>205</v>
      </c>
      <c r="L42" s="198" t="s">
        <v>149</v>
      </c>
    </row>
    <row r="43" spans="1:12" ht="31" thickBot="1">
      <c r="A43" s="141" t="s">
        <v>29</v>
      </c>
      <c r="B43" s="130" t="s">
        <v>176</v>
      </c>
      <c r="C43" s="153">
        <f t="shared" si="1"/>
        <v>34</v>
      </c>
      <c r="D43" s="154"/>
      <c r="E43" s="154"/>
      <c r="F43" s="194"/>
      <c r="G43" s="195"/>
      <c r="H43" s="196">
        <v>34</v>
      </c>
      <c r="I43" s="197"/>
      <c r="J43" s="197"/>
      <c r="K43" s="213" t="s">
        <v>146</v>
      </c>
      <c r="L43" s="198"/>
    </row>
    <row r="44" spans="1:12" s="9" customFormat="1" ht="16" thickBot="1">
      <c r="A44" s="142" t="s">
        <v>30</v>
      </c>
      <c r="B44" s="143"/>
      <c r="C44" s="199"/>
      <c r="D44" s="200"/>
      <c r="E44" s="200"/>
      <c r="F44" s="201"/>
      <c r="G44" s="201"/>
      <c r="H44" s="202"/>
      <c r="I44" s="203"/>
      <c r="J44" s="203"/>
      <c r="K44" s="215"/>
      <c r="L44" s="204"/>
    </row>
    <row r="45" spans="1:12" ht="30">
      <c r="A45" s="141" t="s">
        <v>196</v>
      </c>
      <c r="B45" s="130" t="s">
        <v>174</v>
      </c>
      <c r="C45" s="153">
        <f t="shared" ref="C45:C50" si="2">H45</f>
        <v>0</v>
      </c>
      <c r="D45" s="154"/>
      <c r="E45" s="154"/>
      <c r="F45" s="194"/>
      <c r="G45" s="195"/>
      <c r="H45" s="196"/>
      <c r="I45" s="197"/>
      <c r="J45" s="197"/>
      <c r="K45" s="213"/>
      <c r="L45" s="198" t="s">
        <v>147</v>
      </c>
    </row>
    <row r="46" spans="1:12" ht="45">
      <c r="A46" s="141" t="s">
        <v>197</v>
      </c>
      <c r="B46" s="130" t="s">
        <v>176</v>
      </c>
      <c r="C46" s="153">
        <f t="shared" si="2"/>
        <v>0</v>
      </c>
      <c r="D46" s="154"/>
      <c r="E46" s="154"/>
      <c r="F46" s="194"/>
      <c r="G46" s="195"/>
      <c r="H46" s="196"/>
      <c r="I46" s="197"/>
      <c r="J46" s="197"/>
      <c r="K46" s="213" t="s">
        <v>206</v>
      </c>
      <c r="L46" s="198"/>
    </row>
    <row r="47" spans="1:12">
      <c r="A47" s="141" t="s">
        <v>198</v>
      </c>
      <c r="B47" s="130" t="s">
        <v>174</v>
      </c>
      <c r="C47" s="153">
        <f t="shared" si="2"/>
        <v>5</v>
      </c>
      <c r="D47" s="154"/>
      <c r="E47" s="154"/>
      <c r="F47" s="194"/>
      <c r="G47" s="195"/>
      <c r="H47" s="196">
        <v>5</v>
      </c>
      <c r="I47" s="197"/>
      <c r="J47" s="197"/>
      <c r="K47" s="213"/>
      <c r="L47" s="198" t="s">
        <v>167</v>
      </c>
    </row>
    <row r="48" spans="1:12" ht="45">
      <c r="A48" s="141" t="s">
        <v>199</v>
      </c>
      <c r="B48" s="130" t="s">
        <v>171</v>
      </c>
      <c r="C48" s="153">
        <f t="shared" si="2"/>
        <v>0</v>
      </c>
      <c r="D48" s="154"/>
      <c r="E48" s="154"/>
      <c r="F48" s="194"/>
      <c r="G48" s="195"/>
      <c r="H48" s="196">
        <v>0</v>
      </c>
      <c r="I48" s="197"/>
      <c r="J48" s="197"/>
      <c r="K48" s="213"/>
      <c r="L48" s="198" t="s">
        <v>166</v>
      </c>
    </row>
    <row r="49" spans="1:12" ht="30">
      <c r="A49" s="141" t="s">
        <v>130</v>
      </c>
      <c r="B49" s="130" t="s">
        <v>170</v>
      </c>
      <c r="C49" s="153">
        <f t="shared" si="2"/>
        <v>1</v>
      </c>
      <c r="D49" s="154"/>
      <c r="E49" s="154"/>
      <c r="F49" s="194"/>
      <c r="G49" s="195"/>
      <c r="H49" s="196">
        <v>1</v>
      </c>
      <c r="I49" s="197"/>
      <c r="J49" s="197"/>
      <c r="K49" s="213"/>
      <c r="L49" s="198" t="s">
        <v>144</v>
      </c>
    </row>
    <row r="50" spans="1:12" ht="16" thickBot="1">
      <c r="A50" s="141" t="s">
        <v>192</v>
      </c>
      <c r="B50" s="130" t="s">
        <v>171</v>
      </c>
      <c r="C50" s="153">
        <f t="shared" si="2"/>
        <v>3</v>
      </c>
      <c r="D50" s="154"/>
      <c r="E50" s="154"/>
      <c r="F50" s="194"/>
      <c r="G50" s="195"/>
      <c r="H50" s="196">
        <v>3</v>
      </c>
      <c r="I50" s="197"/>
      <c r="J50" s="197"/>
      <c r="K50" s="213"/>
      <c r="L50" s="198"/>
    </row>
    <row r="51" spans="1:12" s="9" customFormat="1" ht="16" thickBot="1">
      <c r="A51" s="142" t="s">
        <v>181</v>
      </c>
      <c r="B51" s="143"/>
      <c r="C51" s="199"/>
      <c r="D51" s="200"/>
      <c r="E51" s="200"/>
      <c r="F51" s="201"/>
      <c r="G51" s="201"/>
      <c r="H51" s="202"/>
      <c r="I51" s="203"/>
      <c r="J51" s="203"/>
      <c r="K51" s="215"/>
      <c r="L51" s="204"/>
    </row>
    <row r="52" spans="1:12">
      <c r="A52" s="141" t="s">
        <v>31</v>
      </c>
      <c r="B52" s="130" t="s">
        <v>43</v>
      </c>
      <c r="C52" s="153">
        <f t="shared" ref="C52:C57" si="3">H52</f>
        <v>0</v>
      </c>
      <c r="D52" s="154"/>
      <c r="E52" s="154"/>
      <c r="F52" s="194"/>
      <c r="G52" s="195"/>
      <c r="H52" s="196"/>
      <c r="I52" s="197"/>
      <c r="J52" s="197"/>
      <c r="K52" s="213"/>
      <c r="L52" s="198"/>
    </row>
    <row r="53" spans="1:12">
      <c r="A53" s="141" t="s">
        <v>32</v>
      </c>
      <c r="B53" s="130" t="s">
        <v>43</v>
      </c>
      <c r="C53" s="153">
        <f t="shared" si="3"/>
        <v>0</v>
      </c>
      <c r="D53" s="154"/>
      <c r="E53" s="154"/>
      <c r="F53" s="194"/>
      <c r="G53" s="195"/>
      <c r="H53" s="196"/>
      <c r="I53" s="197"/>
      <c r="J53" s="197"/>
      <c r="K53" s="213"/>
      <c r="L53" s="198"/>
    </row>
    <row r="54" spans="1:12">
      <c r="A54" s="141" t="s">
        <v>33</v>
      </c>
      <c r="B54" s="130" t="s">
        <v>43</v>
      </c>
      <c r="C54" s="153">
        <f t="shared" si="3"/>
        <v>0</v>
      </c>
      <c r="D54" s="154"/>
      <c r="E54" s="154"/>
      <c r="F54" s="194"/>
      <c r="G54" s="195"/>
      <c r="H54" s="196"/>
      <c r="I54" s="197"/>
      <c r="J54" s="197"/>
      <c r="K54" s="213"/>
      <c r="L54" s="198"/>
    </row>
    <row r="55" spans="1:12" ht="30">
      <c r="A55" s="141" t="s">
        <v>141</v>
      </c>
      <c r="B55" s="130" t="s">
        <v>43</v>
      </c>
      <c r="C55" s="153">
        <f t="shared" si="3"/>
        <v>0</v>
      </c>
      <c r="D55" s="154"/>
      <c r="E55" s="154"/>
      <c r="F55" s="194"/>
      <c r="G55" s="195"/>
      <c r="H55" s="196"/>
      <c r="I55" s="197"/>
      <c r="J55" s="197"/>
      <c r="K55" s="213"/>
      <c r="L55" s="198"/>
    </row>
    <row r="56" spans="1:12">
      <c r="A56" s="141" t="s">
        <v>35</v>
      </c>
      <c r="B56" s="130" t="s">
        <v>43</v>
      </c>
      <c r="C56" s="153">
        <f t="shared" si="3"/>
        <v>0</v>
      </c>
      <c r="D56" s="154"/>
      <c r="E56" s="154"/>
      <c r="F56" s="194"/>
      <c r="G56" s="195"/>
      <c r="H56" s="196"/>
      <c r="I56" s="197"/>
      <c r="J56" s="197"/>
      <c r="K56" s="213"/>
      <c r="L56" s="198"/>
    </row>
    <row r="57" spans="1:12" s="9" customFormat="1" ht="16" thickBot="1">
      <c r="A57" s="141" t="s">
        <v>36</v>
      </c>
      <c r="B57" s="130" t="s">
        <v>191</v>
      </c>
      <c r="C57" s="153">
        <f t="shared" si="3"/>
        <v>0</v>
      </c>
      <c r="D57" s="154"/>
      <c r="E57" s="154"/>
      <c r="F57" s="194"/>
      <c r="G57" s="195"/>
      <c r="H57" s="196"/>
      <c r="I57" s="197"/>
      <c r="J57" s="197"/>
      <c r="K57" s="213"/>
      <c r="L57" s="198"/>
    </row>
    <row r="58" spans="1:12" s="9" customFormat="1" ht="16" thickBot="1">
      <c r="A58" s="142" t="s">
        <v>37</v>
      </c>
      <c r="B58" s="143"/>
      <c r="C58" s="242"/>
      <c r="D58" s="200"/>
      <c r="E58" s="200"/>
      <c r="F58" s="155"/>
      <c r="G58" s="201"/>
      <c r="H58" s="202"/>
      <c r="I58" s="203"/>
      <c r="J58" s="203"/>
      <c r="K58" s="215"/>
      <c r="L58" s="204"/>
    </row>
    <row r="59" spans="1:12">
      <c r="A59" s="141" t="s">
        <v>38</v>
      </c>
      <c r="B59" s="130" t="s">
        <v>34</v>
      </c>
      <c r="C59" s="46">
        <f t="shared" ref="C59:C60" si="4">H59</f>
        <v>0</v>
      </c>
      <c r="D59" s="154"/>
      <c r="E59" s="154"/>
      <c r="F59" s="194"/>
      <c r="G59" s="195"/>
      <c r="H59" s="196"/>
      <c r="I59" s="197"/>
      <c r="J59" s="197"/>
      <c r="K59" s="213"/>
      <c r="L59" s="198"/>
    </row>
    <row r="60" spans="1:12" s="9" customFormat="1" ht="30">
      <c r="A60" s="141" t="s">
        <v>39</v>
      </c>
      <c r="B60" s="130" t="s">
        <v>34</v>
      </c>
      <c r="C60" s="45">
        <f t="shared" si="4"/>
        <v>0</v>
      </c>
      <c r="D60" s="154"/>
      <c r="E60" s="154"/>
      <c r="F60" s="194"/>
      <c r="G60" s="195"/>
      <c r="H60" s="196"/>
      <c r="I60" s="197"/>
      <c r="J60" s="197"/>
      <c r="K60" s="213"/>
      <c r="L60" s="198"/>
    </row>
    <row r="61" spans="1:12">
      <c r="A61" s="145"/>
      <c r="B61" s="144"/>
    </row>
    <row r="62" spans="1:12">
      <c r="A62" s="145"/>
      <c r="B62" s="144"/>
    </row>
    <row r="63" spans="1:12">
      <c r="A63" s="145"/>
      <c r="B63" s="144"/>
    </row>
    <row r="64" spans="1:12">
      <c r="A64" s="145"/>
      <c r="B64" s="144"/>
    </row>
    <row r="65" spans="1:12">
      <c r="A65" s="145"/>
      <c r="B65" s="144"/>
    </row>
    <row r="66" spans="1:12">
      <c r="A66" s="145"/>
      <c r="B66" s="144"/>
    </row>
    <row r="67" spans="1:12">
      <c r="A67" s="145"/>
      <c r="B67" s="144"/>
    </row>
    <row r="68" spans="1:12">
      <c r="A68" s="145"/>
      <c r="B68" s="144"/>
    </row>
    <row r="69" spans="1:12">
      <c r="A69" s="145"/>
      <c r="B69" s="144"/>
    </row>
    <row r="70" spans="1:12">
      <c r="A70" s="145"/>
      <c r="B70" s="144"/>
    </row>
    <row r="71" spans="1:12">
      <c r="A71" s="145"/>
      <c r="B71" s="144"/>
    </row>
    <row r="72" spans="1:12">
      <c r="A72" s="145"/>
      <c r="B72" s="144"/>
    </row>
    <row r="73" spans="1:12">
      <c r="A73" s="145"/>
      <c r="B73" s="144"/>
    </row>
    <row r="74" spans="1:12">
      <c r="A74" s="145"/>
      <c r="B74" s="144"/>
    </row>
    <row r="75" spans="1:12">
      <c r="A75" s="145"/>
      <c r="B75" s="144"/>
      <c r="C75" s="4"/>
      <c r="D75" s="4"/>
      <c r="E75" s="4"/>
      <c r="F75" s="113"/>
      <c r="G75" s="4"/>
      <c r="H75" s="4"/>
      <c r="I75" s="4"/>
      <c r="J75" s="4"/>
      <c r="K75" s="113"/>
      <c r="L75" s="4"/>
    </row>
    <row r="76" spans="1:12">
      <c r="A76" s="145"/>
      <c r="B76" s="144"/>
      <c r="C76" s="4"/>
      <c r="D76" s="4"/>
      <c r="E76" s="4"/>
      <c r="F76" s="113"/>
      <c r="G76" s="4"/>
      <c r="H76" s="4"/>
      <c r="I76" s="4"/>
      <c r="J76" s="4"/>
      <c r="K76" s="113"/>
      <c r="L76" s="4"/>
    </row>
    <row r="77" spans="1:12">
      <c r="A77" s="145"/>
      <c r="B77" s="144"/>
      <c r="C77" s="4"/>
      <c r="D77" s="4"/>
      <c r="E77" s="4"/>
      <c r="F77" s="113"/>
      <c r="G77" s="4"/>
      <c r="H77" s="4"/>
      <c r="I77" s="4"/>
      <c r="J77" s="4"/>
      <c r="K77" s="113"/>
      <c r="L77" s="4"/>
    </row>
    <row r="78" spans="1:12">
      <c r="A78" s="145"/>
      <c r="B78" s="144"/>
      <c r="C78" s="4"/>
      <c r="D78" s="4"/>
      <c r="E78" s="4"/>
      <c r="F78" s="113"/>
      <c r="G78" s="4"/>
      <c r="H78" s="4"/>
      <c r="I78" s="4"/>
      <c r="J78" s="4"/>
      <c r="K78" s="113"/>
      <c r="L78" s="4"/>
    </row>
    <row r="79" spans="1:12">
      <c r="A79" s="145"/>
      <c r="B79" s="144"/>
      <c r="C79" s="4"/>
      <c r="D79" s="4"/>
      <c r="E79" s="4"/>
      <c r="F79" s="113"/>
      <c r="G79" s="4"/>
      <c r="H79" s="4"/>
      <c r="I79" s="4"/>
      <c r="J79" s="4"/>
      <c r="K79" s="113"/>
      <c r="L79" s="4"/>
    </row>
    <row r="80" spans="1:12">
      <c r="A80" s="145"/>
      <c r="B80" s="144"/>
      <c r="C80" s="4"/>
      <c r="D80" s="4"/>
      <c r="E80" s="4"/>
      <c r="F80" s="113"/>
      <c r="G80" s="4"/>
      <c r="H80" s="4"/>
      <c r="I80" s="4"/>
      <c r="J80" s="4"/>
      <c r="K80" s="113"/>
      <c r="L80" s="4"/>
    </row>
    <row r="81" spans="1:12">
      <c r="A81" s="145"/>
      <c r="B81" s="144"/>
      <c r="C81" s="4"/>
      <c r="D81" s="4"/>
      <c r="E81" s="4"/>
      <c r="F81" s="113"/>
      <c r="G81" s="4"/>
      <c r="H81" s="4"/>
      <c r="I81" s="4"/>
      <c r="J81" s="4"/>
      <c r="K81" s="113"/>
      <c r="L81" s="4"/>
    </row>
    <row r="82" spans="1:12">
      <c r="A82" s="145"/>
      <c r="B82" s="144"/>
      <c r="C82" s="4"/>
      <c r="D82" s="4"/>
      <c r="E82" s="4"/>
      <c r="F82" s="113"/>
      <c r="G82" s="4"/>
      <c r="H82" s="4"/>
      <c r="I82" s="4"/>
      <c r="J82" s="4"/>
      <c r="K82" s="113"/>
      <c r="L82" s="4"/>
    </row>
    <row r="83" spans="1:12">
      <c r="A83" s="145"/>
      <c r="B83" s="144"/>
      <c r="C83" s="4"/>
      <c r="D83" s="4"/>
      <c r="E83" s="4"/>
      <c r="F83" s="113"/>
      <c r="G83" s="4"/>
      <c r="H83" s="4"/>
      <c r="I83" s="4"/>
      <c r="J83" s="4"/>
      <c r="K83" s="113"/>
      <c r="L83" s="4"/>
    </row>
    <row r="84" spans="1:12">
      <c r="A84" s="145"/>
      <c r="B84" s="144"/>
      <c r="C84" s="4"/>
      <c r="D84" s="4"/>
      <c r="E84" s="4"/>
      <c r="F84" s="113"/>
      <c r="G84" s="4"/>
      <c r="H84" s="4"/>
      <c r="I84" s="4"/>
      <c r="J84" s="4"/>
      <c r="K84" s="113"/>
      <c r="L84" s="4"/>
    </row>
    <row r="85" spans="1:12">
      <c r="A85" s="145"/>
      <c r="B85" s="144"/>
      <c r="C85" s="4"/>
      <c r="D85" s="4"/>
      <c r="E85" s="4"/>
      <c r="F85" s="113"/>
      <c r="G85" s="4"/>
      <c r="H85" s="4"/>
      <c r="I85" s="4"/>
      <c r="J85" s="4"/>
      <c r="K85" s="113"/>
      <c r="L85" s="4"/>
    </row>
    <row r="86" spans="1:12">
      <c r="A86" s="145"/>
      <c r="B86" s="144"/>
      <c r="C86" s="4"/>
      <c r="D86" s="4"/>
      <c r="E86" s="4"/>
      <c r="F86" s="113"/>
      <c r="G86" s="4"/>
      <c r="H86" s="4"/>
      <c r="I86" s="4"/>
      <c r="J86" s="4"/>
      <c r="K86" s="113"/>
      <c r="L86" s="4"/>
    </row>
    <row r="87" spans="1:12">
      <c r="A87" s="145"/>
      <c r="B87" s="144"/>
      <c r="C87" s="4"/>
      <c r="D87" s="4"/>
      <c r="E87" s="4"/>
      <c r="F87" s="113"/>
      <c r="G87" s="4"/>
      <c r="H87" s="4"/>
      <c r="I87" s="4"/>
      <c r="J87" s="4"/>
      <c r="K87" s="113"/>
      <c r="L87" s="4"/>
    </row>
    <row r="88" spans="1:12">
      <c r="A88" s="145"/>
      <c r="B88" s="144"/>
      <c r="C88" s="4"/>
      <c r="D88" s="4"/>
      <c r="E88" s="4"/>
      <c r="F88" s="113"/>
      <c r="G88" s="4"/>
      <c r="H88" s="4"/>
      <c r="I88" s="4"/>
      <c r="J88" s="4"/>
      <c r="K88" s="113"/>
      <c r="L88" s="4"/>
    </row>
    <row r="89" spans="1:12">
      <c r="A89" s="145"/>
      <c r="B89" s="144"/>
      <c r="C89" s="4"/>
      <c r="D89" s="4"/>
      <c r="E89" s="4"/>
      <c r="F89" s="113"/>
      <c r="G89" s="4"/>
      <c r="H89" s="4"/>
      <c r="I89" s="4"/>
      <c r="J89" s="4"/>
      <c r="K89" s="113"/>
      <c r="L89" s="4"/>
    </row>
    <row r="90" spans="1:12">
      <c r="A90" s="145"/>
      <c r="B90" s="144"/>
      <c r="C90" s="4"/>
      <c r="D90" s="4"/>
      <c r="E90" s="4"/>
      <c r="F90" s="113"/>
      <c r="G90" s="4"/>
      <c r="H90" s="4"/>
      <c r="I90" s="4"/>
      <c r="J90" s="4"/>
      <c r="K90" s="113"/>
      <c r="L90" s="4"/>
    </row>
    <row r="91" spans="1:12">
      <c r="A91" s="145"/>
      <c r="B91" s="144"/>
      <c r="C91" s="4"/>
      <c r="D91" s="4"/>
      <c r="E91" s="4"/>
      <c r="F91" s="113"/>
      <c r="G91" s="4"/>
      <c r="H91" s="4"/>
      <c r="I91" s="4"/>
      <c r="J91" s="4"/>
      <c r="K91" s="113"/>
      <c r="L91" s="4"/>
    </row>
    <row r="92" spans="1:12">
      <c r="A92" s="145"/>
      <c r="B92" s="144"/>
      <c r="C92" s="4"/>
      <c r="D92" s="4"/>
      <c r="E92" s="4"/>
      <c r="F92" s="113"/>
      <c r="G92" s="4"/>
      <c r="H92" s="4"/>
      <c r="I92" s="4"/>
      <c r="J92" s="4"/>
      <c r="K92" s="113"/>
      <c r="L92" s="4"/>
    </row>
    <row r="93" spans="1:12">
      <c r="A93" s="145"/>
      <c r="B93" s="144"/>
      <c r="C93" s="4"/>
      <c r="D93" s="4"/>
      <c r="E93" s="4"/>
      <c r="F93" s="113"/>
      <c r="G93" s="4"/>
      <c r="H93" s="4"/>
      <c r="I93" s="4"/>
      <c r="J93" s="4"/>
      <c r="K93" s="113"/>
      <c r="L93" s="4"/>
    </row>
    <row r="94" spans="1:12">
      <c r="A94" s="145"/>
      <c r="B94" s="144"/>
      <c r="C94" s="4"/>
      <c r="D94" s="4"/>
      <c r="E94" s="4"/>
      <c r="F94" s="113"/>
      <c r="G94" s="4"/>
      <c r="H94" s="4"/>
      <c r="I94" s="4"/>
      <c r="J94" s="4"/>
      <c r="K94" s="113"/>
      <c r="L94" s="4"/>
    </row>
    <row r="95" spans="1:12">
      <c r="A95" s="145"/>
      <c r="B95" s="144"/>
      <c r="C95" s="4"/>
      <c r="D95" s="4"/>
      <c r="E95" s="4"/>
      <c r="F95" s="113"/>
      <c r="G95" s="4"/>
      <c r="H95" s="4"/>
      <c r="I95" s="4"/>
      <c r="J95" s="4"/>
      <c r="K95" s="113"/>
      <c r="L95" s="4"/>
    </row>
    <row r="96" spans="1:12">
      <c r="A96" s="145"/>
      <c r="B96" s="144"/>
      <c r="C96" s="4"/>
      <c r="D96" s="4"/>
      <c r="E96" s="4"/>
      <c r="F96" s="113"/>
      <c r="G96" s="4"/>
      <c r="H96" s="4"/>
      <c r="I96" s="4"/>
      <c r="J96" s="4"/>
      <c r="K96" s="113"/>
      <c r="L96" s="4"/>
    </row>
    <row r="97" spans="1:12">
      <c r="A97" s="145"/>
      <c r="B97" s="144"/>
      <c r="C97" s="4"/>
      <c r="D97" s="4"/>
      <c r="E97" s="4"/>
      <c r="F97" s="113"/>
      <c r="G97" s="4"/>
      <c r="H97" s="4"/>
      <c r="I97" s="4"/>
      <c r="J97" s="4"/>
      <c r="K97" s="113"/>
      <c r="L97" s="4"/>
    </row>
    <row r="98" spans="1:12">
      <c r="A98" s="145"/>
      <c r="B98" s="144"/>
      <c r="C98" s="4"/>
      <c r="D98" s="4"/>
      <c r="E98" s="4"/>
      <c r="F98" s="113"/>
      <c r="G98" s="4"/>
      <c r="H98" s="4"/>
      <c r="I98" s="4"/>
      <c r="J98" s="4"/>
      <c r="K98" s="113"/>
      <c r="L98" s="4"/>
    </row>
    <row r="99" spans="1:12">
      <c r="A99" s="145"/>
      <c r="B99" s="144"/>
      <c r="C99" s="4"/>
      <c r="D99" s="4"/>
      <c r="E99" s="4"/>
      <c r="F99" s="113"/>
      <c r="G99" s="4"/>
      <c r="H99" s="4"/>
      <c r="I99" s="4"/>
      <c r="J99" s="4"/>
      <c r="K99" s="113"/>
      <c r="L99" s="4"/>
    </row>
    <row r="100" spans="1:12">
      <c r="A100" s="145"/>
      <c r="B100" s="144"/>
      <c r="C100" s="4"/>
      <c r="D100" s="4"/>
      <c r="E100" s="4"/>
      <c r="F100" s="113"/>
      <c r="G100" s="4"/>
      <c r="H100" s="4"/>
      <c r="I100" s="4"/>
      <c r="J100" s="4"/>
      <c r="K100" s="113"/>
      <c r="L100" s="4"/>
    </row>
    <row r="101" spans="1:12">
      <c r="A101" s="145"/>
      <c r="B101" s="144"/>
      <c r="C101" s="4"/>
      <c r="D101" s="4"/>
      <c r="E101" s="4"/>
      <c r="F101" s="113"/>
      <c r="G101" s="4"/>
      <c r="H101" s="4"/>
      <c r="I101" s="4"/>
      <c r="J101" s="4"/>
      <c r="K101" s="113"/>
      <c r="L101" s="4"/>
    </row>
    <row r="102" spans="1:12">
      <c r="A102" s="145"/>
      <c r="B102" s="144"/>
      <c r="C102" s="4"/>
      <c r="D102" s="4"/>
      <c r="E102" s="4"/>
      <c r="F102" s="113"/>
      <c r="G102" s="4"/>
      <c r="H102" s="4"/>
      <c r="I102" s="4"/>
      <c r="J102" s="4"/>
      <c r="K102" s="113"/>
      <c r="L102" s="4"/>
    </row>
    <row r="103" spans="1:12">
      <c r="A103" s="145"/>
      <c r="B103" s="144"/>
      <c r="C103" s="4"/>
      <c r="D103" s="4"/>
      <c r="E103" s="4"/>
      <c r="F103" s="113"/>
      <c r="G103" s="4"/>
      <c r="H103" s="4"/>
      <c r="I103" s="4"/>
      <c r="J103" s="4"/>
      <c r="K103" s="113"/>
      <c r="L103" s="4"/>
    </row>
    <row r="104" spans="1:12">
      <c r="A104" s="145"/>
      <c r="B104" s="144"/>
      <c r="C104" s="4"/>
      <c r="D104" s="4"/>
      <c r="E104" s="4"/>
      <c r="F104" s="113"/>
      <c r="G104" s="4"/>
      <c r="H104" s="4"/>
      <c r="I104" s="4"/>
      <c r="J104" s="4"/>
      <c r="K104" s="113"/>
      <c r="L104" s="4"/>
    </row>
  </sheetData>
  <mergeCells count="2">
    <mergeCell ref="G5:G6"/>
    <mergeCell ref="L5:L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499984740745262"/>
  </sheetPr>
  <dimension ref="A1:P99"/>
  <sheetViews>
    <sheetView topLeftCell="A42" workbookViewId="0">
      <selection activeCell="C5" sqref="C5"/>
    </sheetView>
  </sheetViews>
  <sheetFormatPr baseColWidth="10" defaultRowHeight="15" x14ac:dyDescent="0"/>
  <cols>
    <col min="1" max="1" width="24" style="11" customWidth="1"/>
    <col min="2" max="2" width="17.1640625" style="20" customWidth="1"/>
    <col min="3" max="3" width="10.83203125" style="40" customWidth="1"/>
    <col min="4" max="5" width="10.83203125" style="20" customWidth="1"/>
    <col min="6" max="6" width="24.83203125" style="37" customWidth="1"/>
    <col min="7" max="7" width="24.83203125" style="189" customWidth="1"/>
    <col min="8" max="9" width="10.83203125" style="20" customWidth="1"/>
    <col min="10" max="10" width="17.83203125" style="20" customWidth="1"/>
    <col min="11" max="11" width="24.83203125" style="26" customWidth="1"/>
    <col min="12" max="12" width="24.83203125" style="27" customWidth="1"/>
    <col min="13" max="14" width="10.83203125" style="27"/>
    <col min="15" max="15" width="17.83203125" style="20" customWidth="1"/>
    <col min="16" max="16" width="19.6640625" style="26" customWidth="1"/>
    <col min="17" max="16384" width="10.83203125" style="4"/>
  </cols>
  <sheetData>
    <row r="1" spans="1:16" s="1" customFormat="1">
      <c r="A1" s="2" t="s">
        <v>6</v>
      </c>
      <c r="B1" s="19"/>
      <c r="C1" s="39"/>
      <c r="D1" s="19"/>
      <c r="E1" s="19"/>
      <c r="F1" s="36"/>
      <c r="G1" s="19"/>
      <c r="H1" s="19"/>
      <c r="I1" s="19"/>
      <c r="J1" s="19"/>
      <c r="K1" s="25"/>
      <c r="L1" s="19"/>
      <c r="M1" s="19"/>
      <c r="N1" s="19"/>
      <c r="O1" s="19"/>
      <c r="P1" s="25"/>
    </row>
    <row r="2" spans="1:16">
      <c r="A2" s="3"/>
    </row>
    <row r="3" spans="1:16">
      <c r="C3" s="41" t="s">
        <v>202</v>
      </c>
      <c r="D3" s="28"/>
      <c r="E3" s="28"/>
      <c r="F3" s="38"/>
      <c r="G3" s="190"/>
      <c r="H3" s="29" t="s">
        <v>201</v>
      </c>
      <c r="I3" s="30"/>
      <c r="J3" s="30"/>
      <c r="K3" s="214"/>
      <c r="L3" s="31"/>
      <c r="M3" s="4"/>
      <c r="N3" s="4"/>
      <c r="O3" s="4"/>
      <c r="P3" s="4"/>
    </row>
    <row r="4" spans="1:16" s="9" customFormat="1" ht="61" thickBot="1">
      <c r="A4" s="139" t="s">
        <v>0</v>
      </c>
      <c r="B4" s="140" t="s">
        <v>1</v>
      </c>
      <c r="C4" s="42" t="s">
        <v>2</v>
      </c>
      <c r="D4" s="5" t="s">
        <v>3</v>
      </c>
      <c r="E4" s="6" t="s">
        <v>4</v>
      </c>
      <c r="F4" s="5" t="s">
        <v>45</v>
      </c>
      <c r="G4" s="6" t="s">
        <v>5</v>
      </c>
      <c r="H4" s="7" t="s">
        <v>2</v>
      </c>
      <c r="I4" s="7" t="s">
        <v>3</v>
      </c>
      <c r="J4" s="7" t="s">
        <v>4</v>
      </c>
      <c r="K4" s="7" t="s">
        <v>45</v>
      </c>
      <c r="L4" s="8" t="s">
        <v>5</v>
      </c>
    </row>
    <row r="5" spans="1:16" s="9" customFormat="1" ht="45">
      <c r="A5" s="13" t="s">
        <v>124</v>
      </c>
      <c r="B5" s="14" t="s">
        <v>126</v>
      </c>
      <c r="C5" s="191"/>
      <c r="D5" s="21"/>
      <c r="E5" s="21"/>
      <c r="F5" s="206"/>
      <c r="G5" s="297"/>
      <c r="H5" s="23"/>
      <c r="I5" s="23"/>
      <c r="J5" s="23"/>
      <c r="K5" s="117"/>
      <c r="L5" s="299" t="s">
        <v>151</v>
      </c>
    </row>
    <row r="6" spans="1:16" s="9" customFormat="1" ht="16" thickBot="1">
      <c r="A6" s="16" t="s">
        <v>40</v>
      </c>
      <c r="B6" s="17" t="s">
        <v>116</v>
      </c>
      <c r="C6" s="192"/>
      <c r="D6" s="22"/>
      <c r="E6" s="22"/>
      <c r="F6" s="207"/>
      <c r="G6" s="298"/>
      <c r="H6" s="24"/>
      <c r="I6" s="24"/>
      <c r="J6" s="24"/>
      <c r="K6" s="119"/>
      <c r="L6" s="300"/>
    </row>
    <row r="7" spans="1:16" ht="60">
      <c r="A7" s="141" t="s">
        <v>129</v>
      </c>
      <c r="B7" s="130" t="s">
        <v>169</v>
      </c>
      <c r="C7" s="153">
        <f>H7</f>
        <v>3</v>
      </c>
      <c r="D7" s="154"/>
      <c r="E7" s="154"/>
      <c r="F7" s="194"/>
      <c r="G7" s="195"/>
      <c r="H7" s="196">
        <v>3</v>
      </c>
      <c r="I7" s="197"/>
      <c r="J7" s="197"/>
      <c r="K7" s="213"/>
      <c r="L7" s="198" t="s">
        <v>213</v>
      </c>
      <c r="M7" s="4"/>
      <c r="N7" s="4"/>
      <c r="O7" s="4"/>
      <c r="P7" s="4"/>
    </row>
    <row r="8" spans="1:16">
      <c r="A8" s="141" t="s">
        <v>131</v>
      </c>
      <c r="B8" s="130" t="s">
        <v>169</v>
      </c>
      <c r="C8" s="240">
        <f>H8/(1+(0.9-0.4)/0.4)</f>
        <v>1.3333333333333333</v>
      </c>
      <c r="D8" s="154"/>
      <c r="E8" s="154"/>
      <c r="F8" s="194"/>
      <c r="G8" s="195"/>
      <c r="H8" s="196">
        <v>3</v>
      </c>
      <c r="I8" s="197"/>
      <c r="J8" s="197"/>
      <c r="K8" s="213"/>
      <c r="L8" s="198"/>
      <c r="M8" s="4"/>
      <c r="N8" s="4"/>
      <c r="O8" s="4"/>
      <c r="P8" s="4"/>
    </row>
    <row r="9" spans="1:16" ht="135">
      <c r="A9" s="141" t="s">
        <v>132</v>
      </c>
      <c r="B9" s="130" t="s">
        <v>172</v>
      </c>
      <c r="C9" s="240">
        <f>H9/(1+(14-9.2)/9.2)</f>
        <v>16.428571428571427</v>
      </c>
      <c r="D9" s="154"/>
      <c r="E9" s="154"/>
      <c r="F9" s="194"/>
      <c r="G9" s="195" t="s">
        <v>234</v>
      </c>
      <c r="H9" s="196">
        <v>25</v>
      </c>
      <c r="I9" s="197">
        <v>25</v>
      </c>
      <c r="J9" s="197">
        <v>30</v>
      </c>
      <c r="K9" s="213" t="s">
        <v>153</v>
      </c>
      <c r="L9" s="198" t="s">
        <v>193</v>
      </c>
      <c r="M9" s="4"/>
      <c r="N9" s="4"/>
      <c r="O9" s="4"/>
      <c r="P9" s="4"/>
    </row>
    <row r="10" spans="1:16" ht="45">
      <c r="A10" s="141" t="s">
        <v>133</v>
      </c>
      <c r="B10" s="130" t="s">
        <v>176</v>
      </c>
      <c r="C10" s="244">
        <f>H10/H9*C9</f>
        <v>27928.571428571428</v>
      </c>
      <c r="D10" s="154"/>
      <c r="E10" s="154"/>
      <c r="F10" s="194"/>
      <c r="G10" s="195" t="s">
        <v>232</v>
      </c>
      <c r="H10" s="196">
        <v>42500</v>
      </c>
      <c r="I10" s="197">
        <f>1.7*I9*1000</f>
        <v>42500</v>
      </c>
      <c r="J10" s="197">
        <f>1.7*J9*1000</f>
        <v>51000</v>
      </c>
      <c r="K10" s="213" t="s">
        <v>153</v>
      </c>
      <c r="L10" s="198" t="s">
        <v>194</v>
      </c>
      <c r="M10" s="4"/>
      <c r="N10" s="4"/>
      <c r="O10" s="4"/>
      <c r="P10" s="4"/>
    </row>
    <row r="11" spans="1:16" s="9" customFormat="1" ht="121" thickBot="1">
      <c r="A11" s="141" t="s">
        <v>7</v>
      </c>
      <c r="B11" s="130" t="s">
        <v>191</v>
      </c>
      <c r="C11" s="153">
        <f>CES1_Abricot!C11</f>
        <v>5760</v>
      </c>
      <c r="D11" s="154"/>
      <c r="E11" s="154"/>
      <c r="F11" s="194"/>
      <c r="G11" s="195" t="s">
        <v>265</v>
      </c>
      <c r="H11" s="196"/>
      <c r="I11" s="197"/>
      <c r="J11" s="197"/>
      <c r="K11" s="213"/>
      <c r="L11" s="198"/>
    </row>
    <row r="12" spans="1:16" ht="31" thickBot="1">
      <c r="A12" s="142" t="s">
        <v>134</v>
      </c>
      <c r="B12" s="143"/>
      <c r="C12" s="199"/>
      <c r="D12" s="200"/>
      <c r="E12" s="200"/>
      <c r="F12" s="201"/>
      <c r="G12" s="201"/>
      <c r="H12" s="202"/>
      <c r="I12" s="203"/>
      <c r="J12" s="203"/>
      <c r="K12" s="215"/>
      <c r="L12" s="204"/>
      <c r="M12" s="4"/>
      <c r="N12" s="4"/>
      <c r="O12" s="4"/>
      <c r="P12" s="4"/>
    </row>
    <row r="13" spans="1:16" s="238" customFormat="1">
      <c r="A13" s="229" t="s">
        <v>8</v>
      </c>
      <c r="B13" s="230"/>
      <c r="C13" s="153">
        <f t="shared" ref="C13:C14" si="0">H13</f>
        <v>0</v>
      </c>
      <c r="D13" s="231"/>
      <c r="E13" s="231"/>
      <c r="F13" s="232"/>
      <c r="G13" s="233"/>
      <c r="H13" s="234"/>
      <c r="I13" s="235"/>
      <c r="J13" s="235"/>
      <c r="K13" s="236"/>
      <c r="L13" s="237"/>
    </row>
    <row r="14" spans="1:16">
      <c r="A14" s="141" t="s">
        <v>135</v>
      </c>
      <c r="B14" s="130" t="s">
        <v>173</v>
      </c>
      <c r="C14" s="153">
        <f t="shared" si="0"/>
        <v>5</v>
      </c>
      <c r="D14" s="154"/>
      <c r="E14" s="154"/>
      <c r="F14" s="194"/>
      <c r="G14" s="195"/>
      <c r="H14" s="196">
        <v>5</v>
      </c>
      <c r="I14" s="197"/>
      <c r="J14" s="197"/>
      <c r="K14" s="213"/>
      <c r="L14" s="198"/>
      <c r="M14" s="4"/>
      <c r="N14" s="4"/>
      <c r="O14" s="4"/>
      <c r="P14" s="4"/>
    </row>
    <row r="15" spans="1:16">
      <c r="A15" s="141" t="s">
        <v>136</v>
      </c>
      <c r="B15" s="130" t="s">
        <v>171</v>
      </c>
      <c r="C15" s="153">
        <f>H15</f>
        <v>30</v>
      </c>
      <c r="D15" s="154"/>
      <c r="E15" s="154"/>
      <c r="F15" s="194"/>
      <c r="G15" s="195"/>
      <c r="H15" s="196">
        <v>30</v>
      </c>
      <c r="I15" s="197"/>
      <c r="J15" s="197"/>
      <c r="K15" s="213"/>
      <c r="L15" s="198"/>
      <c r="M15" s="4"/>
      <c r="N15" s="4"/>
      <c r="O15" s="4"/>
      <c r="P15" s="4"/>
    </row>
    <row r="16" spans="1:16" ht="30">
      <c r="A16" s="141" t="s">
        <v>9</v>
      </c>
      <c r="B16" s="130" t="s">
        <v>174</v>
      </c>
      <c r="C16" s="153">
        <f t="shared" ref="C16:C43" si="1">H16</f>
        <v>4</v>
      </c>
      <c r="D16" s="154"/>
      <c r="E16" s="154"/>
      <c r="F16" s="194"/>
      <c r="G16" s="195"/>
      <c r="H16" s="196">
        <v>4</v>
      </c>
      <c r="I16" s="197"/>
      <c r="J16" s="197"/>
      <c r="K16" s="213" t="s">
        <v>153</v>
      </c>
      <c r="L16" s="198" t="s">
        <v>207</v>
      </c>
      <c r="M16" s="4"/>
      <c r="N16" s="4"/>
      <c r="O16" s="4"/>
      <c r="P16" s="4"/>
    </row>
    <row r="17" spans="1:16" ht="30">
      <c r="A17" s="141" t="s">
        <v>204</v>
      </c>
      <c r="B17" s="130" t="s">
        <v>177</v>
      </c>
      <c r="C17" s="153">
        <f t="shared" si="1"/>
        <v>20</v>
      </c>
      <c r="D17" s="154"/>
      <c r="E17" s="154"/>
      <c r="F17" s="194"/>
      <c r="G17" s="195"/>
      <c r="H17" s="196">
        <v>20</v>
      </c>
      <c r="I17" s="197">
        <v>10</v>
      </c>
      <c r="J17" s="197">
        <v>20</v>
      </c>
      <c r="K17" s="213" t="s">
        <v>155</v>
      </c>
      <c r="L17" s="198" t="s">
        <v>189</v>
      </c>
      <c r="M17" s="4"/>
      <c r="N17" s="4"/>
      <c r="O17" s="4"/>
      <c r="P17" s="4"/>
    </row>
    <row r="18" spans="1:16">
      <c r="A18" s="141" t="s">
        <v>10</v>
      </c>
      <c r="B18" s="130" t="s">
        <v>175</v>
      </c>
      <c r="C18" s="153">
        <f t="shared" si="1"/>
        <v>0</v>
      </c>
      <c r="D18" s="154"/>
      <c r="E18" s="154"/>
      <c r="F18" s="194"/>
      <c r="G18" s="195"/>
      <c r="H18" s="196"/>
      <c r="I18" s="197"/>
      <c r="J18" s="197"/>
      <c r="K18" s="213"/>
      <c r="L18" s="198"/>
      <c r="M18" s="4"/>
      <c r="N18" s="4"/>
      <c r="O18" s="4"/>
      <c r="P18" s="4"/>
    </row>
    <row r="19" spans="1:16">
      <c r="A19" s="141" t="s">
        <v>11</v>
      </c>
      <c r="B19" s="130" t="s">
        <v>176</v>
      </c>
      <c r="C19" s="153">
        <f t="shared" si="1"/>
        <v>0</v>
      </c>
      <c r="D19" s="154"/>
      <c r="E19" s="154"/>
      <c r="F19" s="194"/>
      <c r="G19" s="195"/>
      <c r="H19" s="196"/>
      <c r="I19" s="197"/>
      <c r="J19" s="197"/>
      <c r="K19" s="213"/>
      <c r="L19" s="198"/>
      <c r="M19" s="4"/>
      <c r="N19" s="4"/>
      <c r="O19" s="4"/>
      <c r="P19" s="4"/>
    </row>
    <row r="20" spans="1:16">
      <c r="A20" s="141" t="s">
        <v>12</v>
      </c>
      <c r="B20" s="130" t="s">
        <v>178</v>
      </c>
      <c r="C20" s="153">
        <f t="shared" si="1"/>
        <v>0</v>
      </c>
      <c r="D20" s="154"/>
      <c r="E20" s="154"/>
      <c r="F20" s="194"/>
      <c r="G20" s="195"/>
      <c r="H20" s="196"/>
      <c r="I20" s="197"/>
      <c r="J20" s="197"/>
      <c r="K20" s="213"/>
      <c r="L20" s="198"/>
      <c r="M20" s="4"/>
      <c r="N20" s="4"/>
      <c r="O20" s="4"/>
      <c r="P20" s="4"/>
    </row>
    <row r="21" spans="1:16">
      <c r="A21" s="141" t="s">
        <v>13</v>
      </c>
      <c r="B21" s="130" t="s">
        <v>176</v>
      </c>
      <c r="C21" s="153">
        <f t="shared" si="1"/>
        <v>0</v>
      </c>
      <c r="D21" s="154"/>
      <c r="E21" s="154"/>
      <c r="F21" s="194"/>
      <c r="G21" s="195"/>
      <c r="H21" s="196"/>
      <c r="I21" s="197"/>
      <c r="J21" s="197"/>
      <c r="K21" s="213"/>
      <c r="L21" s="198"/>
      <c r="M21" s="4"/>
      <c r="N21" s="4"/>
      <c r="O21" s="4"/>
      <c r="P21" s="4"/>
    </row>
    <row r="22" spans="1:16">
      <c r="A22" s="141" t="s">
        <v>108</v>
      </c>
      <c r="B22" s="130" t="s">
        <v>174</v>
      </c>
      <c r="C22" s="153">
        <f t="shared" si="1"/>
        <v>4</v>
      </c>
      <c r="D22" s="154"/>
      <c r="E22" s="154"/>
      <c r="F22" s="194"/>
      <c r="G22" s="195"/>
      <c r="H22" s="196">
        <v>4</v>
      </c>
      <c r="I22" s="197"/>
      <c r="J22" s="197"/>
      <c r="K22" s="213"/>
      <c r="L22" s="198"/>
      <c r="M22" s="4"/>
      <c r="N22" s="4"/>
      <c r="O22" s="4"/>
      <c r="P22" s="4"/>
    </row>
    <row r="23" spans="1:16">
      <c r="A23" s="141" t="s">
        <v>109</v>
      </c>
      <c r="B23" s="130" t="s">
        <v>176</v>
      </c>
      <c r="C23" s="153">
        <f t="shared" si="1"/>
        <v>10</v>
      </c>
      <c r="D23" s="154"/>
      <c r="E23" s="154"/>
      <c r="F23" s="194"/>
      <c r="G23" s="195"/>
      <c r="H23" s="196">
        <v>10</v>
      </c>
      <c r="I23" s="197"/>
      <c r="J23" s="197"/>
      <c r="K23" s="213"/>
      <c r="L23" s="198" t="s">
        <v>155</v>
      </c>
      <c r="M23" s="4"/>
      <c r="N23" s="4"/>
      <c r="O23" s="4"/>
      <c r="P23" s="4"/>
    </row>
    <row r="24" spans="1:16" s="238" customFormat="1">
      <c r="A24" s="229" t="s">
        <v>137</v>
      </c>
      <c r="B24" s="230"/>
      <c r="C24" s="153">
        <f t="shared" si="1"/>
        <v>0</v>
      </c>
      <c r="D24" s="231"/>
      <c r="E24" s="231"/>
      <c r="F24" s="232"/>
      <c r="G24" s="233"/>
      <c r="H24" s="234"/>
      <c r="I24" s="235"/>
      <c r="J24" s="235"/>
      <c r="K24" s="236"/>
      <c r="L24" s="237"/>
    </row>
    <row r="25" spans="1:16" s="9" customFormat="1">
      <c r="A25" s="141" t="s">
        <v>138</v>
      </c>
      <c r="B25" s="130" t="s">
        <v>179</v>
      </c>
      <c r="C25" s="153">
        <f t="shared" si="1"/>
        <v>156</v>
      </c>
      <c r="D25" s="154"/>
      <c r="E25" s="154"/>
      <c r="F25" s="194"/>
      <c r="G25" s="212"/>
      <c r="H25" s="196">
        <v>156</v>
      </c>
      <c r="I25" s="197"/>
      <c r="J25" s="197"/>
      <c r="K25" s="213"/>
      <c r="L25" s="198"/>
    </row>
    <row r="26" spans="1:16">
      <c r="A26" s="141" t="s">
        <v>14</v>
      </c>
      <c r="B26" s="130" t="s">
        <v>182</v>
      </c>
      <c r="C26" s="153">
        <f t="shared" si="1"/>
        <v>5</v>
      </c>
      <c r="D26" s="154"/>
      <c r="E26" s="154"/>
      <c r="F26" s="194"/>
      <c r="G26" s="195"/>
      <c r="H26" s="196">
        <v>5</v>
      </c>
      <c r="I26" s="197">
        <v>5</v>
      </c>
      <c r="J26" s="197">
        <v>35</v>
      </c>
      <c r="K26" s="213" t="s">
        <v>155</v>
      </c>
      <c r="L26" s="198" t="s">
        <v>156</v>
      </c>
      <c r="M26" s="4"/>
      <c r="N26" s="4"/>
      <c r="O26" s="4"/>
      <c r="P26" s="4"/>
    </row>
    <row r="27" spans="1:16" s="238" customFormat="1">
      <c r="A27" s="229" t="s">
        <v>15</v>
      </c>
      <c r="B27" s="230"/>
      <c r="C27" s="153">
        <f t="shared" si="1"/>
        <v>0</v>
      </c>
      <c r="D27" s="231"/>
      <c r="E27" s="231"/>
      <c r="F27" s="232"/>
      <c r="G27" s="233"/>
      <c r="H27" s="234"/>
      <c r="I27" s="235"/>
      <c r="J27" s="235"/>
      <c r="K27" s="236"/>
      <c r="L27" s="237"/>
    </row>
    <row r="28" spans="1:16" s="9" customFormat="1" ht="30">
      <c r="A28" s="141" t="s">
        <v>16</v>
      </c>
      <c r="B28" s="130" t="s">
        <v>172</v>
      </c>
      <c r="C28" s="153">
        <f t="shared" si="1"/>
        <v>2</v>
      </c>
      <c r="D28" s="154"/>
      <c r="E28" s="154"/>
      <c r="F28" s="194"/>
      <c r="G28" s="195"/>
      <c r="H28" s="196">
        <v>2</v>
      </c>
      <c r="I28" s="197"/>
      <c r="J28" s="197"/>
      <c r="K28" s="213" t="s">
        <v>153</v>
      </c>
      <c r="L28" s="198" t="s">
        <v>200</v>
      </c>
    </row>
    <row r="29" spans="1:16">
      <c r="A29" s="141" t="s">
        <v>17</v>
      </c>
      <c r="B29" s="130" t="s">
        <v>176</v>
      </c>
      <c r="C29" s="153">
        <f t="shared" si="1"/>
        <v>90</v>
      </c>
      <c r="D29" s="154"/>
      <c r="E29" s="154"/>
      <c r="F29" s="194"/>
      <c r="G29" s="195"/>
      <c r="H29" s="196">
        <v>90</v>
      </c>
      <c r="I29" s="197"/>
      <c r="J29" s="197"/>
      <c r="K29" s="213" t="s">
        <v>155</v>
      </c>
      <c r="L29" s="198"/>
      <c r="M29" s="4"/>
      <c r="N29" s="4"/>
      <c r="O29" s="4"/>
      <c r="P29" s="4"/>
    </row>
    <row r="30" spans="1:16">
      <c r="A30" s="141" t="s">
        <v>18</v>
      </c>
      <c r="B30" s="217" t="s">
        <v>183</v>
      </c>
      <c r="C30" s="153">
        <f t="shared" si="1"/>
        <v>200</v>
      </c>
      <c r="D30" s="154"/>
      <c r="E30" s="154"/>
      <c r="F30" s="194"/>
      <c r="G30" s="195"/>
      <c r="H30" s="196">
        <v>200</v>
      </c>
      <c r="I30" s="197"/>
      <c r="J30" s="197"/>
      <c r="K30" s="213"/>
      <c r="L30" s="198"/>
      <c r="M30" s="4"/>
      <c r="N30" s="4"/>
      <c r="O30" s="4"/>
      <c r="P30" s="4"/>
    </row>
    <row r="31" spans="1:16">
      <c r="A31" s="141" t="s">
        <v>19</v>
      </c>
      <c r="B31" s="130" t="s">
        <v>176</v>
      </c>
      <c r="C31" s="153">
        <f t="shared" si="1"/>
        <v>104</v>
      </c>
      <c r="D31" s="154"/>
      <c r="E31" s="154"/>
      <c r="F31" s="194"/>
      <c r="G31" s="195"/>
      <c r="H31" s="196">
        <v>104</v>
      </c>
      <c r="I31" s="197"/>
      <c r="J31" s="197"/>
      <c r="K31" s="213" t="s">
        <v>155</v>
      </c>
      <c r="L31" s="198"/>
      <c r="M31" s="4"/>
      <c r="N31" s="4"/>
      <c r="O31" s="4"/>
      <c r="P31" s="4"/>
    </row>
    <row r="32" spans="1:16">
      <c r="A32" s="141" t="s">
        <v>139</v>
      </c>
      <c r="B32" s="217" t="s">
        <v>183</v>
      </c>
      <c r="C32" s="153">
        <f t="shared" si="1"/>
        <v>120</v>
      </c>
      <c r="D32" s="154"/>
      <c r="E32" s="154"/>
      <c r="F32" s="194"/>
      <c r="G32" s="195"/>
      <c r="H32" s="196">
        <v>120</v>
      </c>
      <c r="I32" s="197"/>
      <c r="J32" s="197"/>
      <c r="K32" s="213"/>
      <c r="L32" s="198"/>
      <c r="M32" s="4"/>
      <c r="N32" s="4"/>
      <c r="O32" s="4"/>
      <c r="P32" s="4"/>
    </row>
    <row r="33" spans="1:16">
      <c r="A33" s="141" t="s">
        <v>140</v>
      </c>
      <c r="B33" s="130" t="s">
        <v>176</v>
      </c>
      <c r="C33" s="153">
        <f t="shared" si="1"/>
        <v>128</v>
      </c>
      <c r="D33" s="154"/>
      <c r="E33" s="154"/>
      <c r="F33" s="194"/>
      <c r="G33" s="195"/>
      <c r="H33" s="196">
        <v>128</v>
      </c>
      <c r="I33" s="197"/>
      <c r="J33" s="197"/>
      <c r="K33" s="213" t="s">
        <v>155</v>
      </c>
      <c r="L33" s="198"/>
      <c r="M33" s="4"/>
      <c r="N33" s="4"/>
      <c r="O33" s="4"/>
      <c r="P33" s="4"/>
    </row>
    <row r="34" spans="1:16" s="238" customFormat="1" ht="30">
      <c r="A34" s="229" t="s">
        <v>20</v>
      </c>
      <c r="B34" s="230"/>
      <c r="C34" s="153">
        <f t="shared" si="1"/>
        <v>0</v>
      </c>
      <c r="D34" s="231"/>
      <c r="E34" s="231"/>
      <c r="F34" s="232"/>
      <c r="G34" s="233"/>
      <c r="H34" s="234"/>
      <c r="I34" s="235"/>
      <c r="J34" s="235"/>
      <c r="K34" s="236"/>
      <c r="L34" s="237"/>
    </row>
    <row r="35" spans="1:16">
      <c r="A35" s="141" t="s">
        <v>21</v>
      </c>
      <c r="B35" s="130" t="s">
        <v>175</v>
      </c>
      <c r="C35" s="153">
        <f t="shared" si="1"/>
        <v>0</v>
      </c>
      <c r="D35" s="154"/>
      <c r="E35" s="154"/>
      <c r="F35" s="194"/>
      <c r="G35" s="195"/>
      <c r="H35" s="196"/>
      <c r="I35" s="197"/>
      <c r="J35" s="197"/>
      <c r="K35" s="213"/>
      <c r="L35" s="198"/>
      <c r="M35" s="4"/>
      <c r="N35" s="4"/>
      <c r="O35" s="4"/>
      <c r="P35" s="4"/>
    </row>
    <row r="36" spans="1:16">
      <c r="A36" s="141" t="s">
        <v>22</v>
      </c>
      <c r="B36" s="130" t="s">
        <v>176</v>
      </c>
      <c r="C36" s="153">
        <f t="shared" si="1"/>
        <v>0</v>
      </c>
      <c r="D36" s="154"/>
      <c r="E36" s="154"/>
      <c r="F36" s="194"/>
      <c r="G36" s="195"/>
      <c r="H36" s="196"/>
      <c r="I36" s="197"/>
      <c r="J36" s="197"/>
      <c r="K36" s="213"/>
      <c r="L36" s="198"/>
      <c r="M36" s="4"/>
      <c r="N36" s="4"/>
      <c r="O36" s="4"/>
      <c r="P36" s="4"/>
    </row>
    <row r="37" spans="1:16" s="9" customFormat="1">
      <c r="A37" s="141" t="s">
        <v>23</v>
      </c>
      <c r="B37" s="130" t="s">
        <v>43</v>
      </c>
      <c r="C37" s="153">
        <f t="shared" si="1"/>
        <v>0</v>
      </c>
      <c r="D37" s="154"/>
      <c r="E37" s="154"/>
      <c r="F37" s="194"/>
      <c r="G37" s="195"/>
      <c r="H37" s="196"/>
      <c r="I37" s="197"/>
      <c r="J37" s="197"/>
      <c r="K37" s="213"/>
      <c r="L37" s="198"/>
    </row>
    <row r="38" spans="1:16">
      <c r="A38" s="141" t="s">
        <v>24</v>
      </c>
      <c r="B38" s="130" t="s">
        <v>43</v>
      </c>
      <c r="C38" s="153">
        <f t="shared" si="1"/>
        <v>0</v>
      </c>
      <c r="D38" s="154"/>
      <c r="E38" s="154"/>
      <c r="F38" s="194"/>
      <c r="G38" s="195"/>
      <c r="H38" s="196"/>
      <c r="I38" s="197"/>
      <c r="J38" s="197"/>
      <c r="K38" s="213"/>
      <c r="L38" s="198"/>
      <c r="M38" s="4"/>
      <c r="N38" s="4"/>
      <c r="O38" s="4"/>
      <c r="P38" s="4"/>
    </row>
    <row r="39" spans="1:16">
      <c r="A39" s="141" t="s">
        <v>25</v>
      </c>
      <c r="B39" s="130" t="s">
        <v>43</v>
      </c>
      <c r="C39" s="153">
        <f t="shared" si="1"/>
        <v>0</v>
      </c>
      <c r="D39" s="154"/>
      <c r="E39" s="154"/>
      <c r="F39" s="194"/>
      <c r="G39" s="195"/>
      <c r="H39" s="196"/>
      <c r="I39" s="197"/>
      <c r="J39" s="197"/>
      <c r="K39" s="213"/>
      <c r="L39" s="198"/>
      <c r="M39" s="4"/>
      <c r="N39" s="4"/>
      <c r="O39" s="4"/>
      <c r="P39" s="4"/>
    </row>
    <row r="40" spans="1:16">
      <c r="A40" s="141" t="s">
        <v>26</v>
      </c>
      <c r="B40" s="130" t="s">
        <v>43</v>
      </c>
      <c r="C40" s="153">
        <f t="shared" si="1"/>
        <v>0</v>
      </c>
      <c r="D40" s="154"/>
      <c r="E40" s="154"/>
      <c r="F40" s="194"/>
      <c r="G40" s="195"/>
      <c r="H40" s="196"/>
      <c r="I40" s="197"/>
      <c r="J40" s="197"/>
      <c r="K40" s="213"/>
      <c r="L40" s="198"/>
      <c r="M40" s="4"/>
      <c r="N40" s="4"/>
      <c r="O40" s="4"/>
      <c r="P40" s="4"/>
    </row>
    <row r="41" spans="1:16" s="238" customFormat="1">
      <c r="A41" s="229" t="s">
        <v>27</v>
      </c>
      <c r="B41" s="230"/>
      <c r="C41" s="153">
        <f t="shared" si="1"/>
        <v>0</v>
      </c>
      <c r="D41" s="231"/>
      <c r="E41" s="231"/>
      <c r="F41" s="232"/>
      <c r="G41" s="233"/>
      <c r="H41" s="234"/>
      <c r="I41" s="235"/>
      <c r="J41" s="235"/>
      <c r="K41" s="236"/>
      <c r="L41" s="237"/>
    </row>
    <row r="42" spans="1:16" ht="60">
      <c r="A42" s="141" t="s">
        <v>28</v>
      </c>
      <c r="B42" s="130" t="s">
        <v>180</v>
      </c>
      <c r="C42" s="153">
        <f t="shared" si="1"/>
        <v>84560</v>
      </c>
      <c r="D42" s="154"/>
      <c r="E42" s="154"/>
      <c r="F42" s="194"/>
      <c r="G42" s="195"/>
      <c r="H42" s="196">
        <v>84560</v>
      </c>
      <c r="I42" s="197"/>
      <c r="J42" s="197"/>
      <c r="K42" s="213" t="s">
        <v>205</v>
      </c>
      <c r="L42" s="198" t="s">
        <v>149</v>
      </c>
      <c r="M42" s="4"/>
      <c r="N42" s="4"/>
      <c r="O42" s="4"/>
      <c r="P42" s="4"/>
    </row>
    <row r="43" spans="1:16" ht="31" thickBot="1">
      <c r="A43" s="141" t="s">
        <v>29</v>
      </c>
      <c r="B43" s="130" t="s">
        <v>176</v>
      </c>
      <c r="C43" s="153">
        <f t="shared" si="1"/>
        <v>1869</v>
      </c>
      <c r="D43" s="154"/>
      <c r="E43" s="154"/>
      <c r="F43" s="194"/>
      <c r="G43" s="195"/>
      <c r="H43" s="196">
        <v>1869</v>
      </c>
      <c r="I43" s="197"/>
      <c r="J43" s="197"/>
      <c r="K43" s="213" t="s">
        <v>146</v>
      </c>
      <c r="L43" s="198"/>
      <c r="M43" s="4"/>
      <c r="N43" s="4"/>
      <c r="O43" s="4"/>
      <c r="P43" s="4"/>
    </row>
    <row r="44" spans="1:16" s="9" customFormat="1" ht="16" thickBot="1">
      <c r="A44" s="142" t="s">
        <v>30</v>
      </c>
      <c r="B44" s="143"/>
      <c r="C44" s="199"/>
      <c r="D44" s="200"/>
      <c r="E44" s="200"/>
      <c r="F44" s="201"/>
      <c r="G44" s="201"/>
      <c r="H44" s="202"/>
      <c r="I44" s="203"/>
      <c r="J44" s="203"/>
      <c r="K44" s="215"/>
      <c r="L44" s="204"/>
    </row>
    <row r="45" spans="1:16">
      <c r="A45" s="141" t="s">
        <v>196</v>
      </c>
      <c r="B45" s="130" t="s">
        <v>174</v>
      </c>
      <c r="C45" s="153">
        <f t="shared" ref="C45:C50" si="2">H45</f>
        <v>10</v>
      </c>
      <c r="D45" s="154"/>
      <c r="E45" s="154"/>
      <c r="F45" s="194"/>
      <c r="G45" s="195"/>
      <c r="H45" s="196">
        <v>10</v>
      </c>
      <c r="I45" s="197"/>
      <c r="J45" s="197"/>
      <c r="K45" s="213"/>
      <c r="L45" s="198"/>
      <c r="M45" s="4"/>
      <c r="N45" s="4"/>
      <c r="O45" s="4"/>
      <c r="P45" s="4"/>
    </row>
    <row r="46" spans="1:16" ht="45">
      <c r="A46" s="141" t="s">
        <v>197</v>
      </c>
      <c r="B46" s="130" t="s">
        <v>176</v>
      </c>
      <c r="C46" s="153">
        <f t="shared" si="2"/>
        <v>250</v>
      </c>
      <c r="D46" s="154"/>
      <c r="E46" s="154"/>
      <c r="F46" s="194"/>
      <c r="G46" s="195"/>
      <c r="H46" s="196">
        <v>250</v>
      </c>
      <c r="I46" s="197"/>
      <c r="J46" s="197"/>
      <c r="K46" s="213" t="s">
        <v>148</v>
      </c>
      <c r="L46" s="198"/>
      <c r="M46" s="4"/>
      <c r="N46" s="4"/>
      <c r="O46" s="4"/>
      <c r="P46" s="4"/>
    </row>
    <row r="47" spans="1:16">
      <c r="A47" s="141" t="s">
        <v>198</v>
      </c>
      <c r="B47" s="130" t="s">
        <v>174</v>
      </c>
      <c r="C47" s="153">
        <f t="shared" si="2"/>
        <v>30</v>
      </c>
      <c r="D47" s="154"/>
      <c r="E47" s="154"/>
      <c r="F47" s="194"/>
      <c r="G47" s="195"/>
      <c r="H47" s="196">
        <v>30</v>
      </c>
      <c r="I47" s="197"/>
      <c r="J47" s="197"/>
      <c r="K47" s="213" t="s">
        <v>157</v>
      </c>
      <c r="L47" s="198"/>
      <c r="M47" s="4"/>
      <c r="N47" s="4"/>
      <c r="O47" s="4"/>
      <c r="P47" s="4"/>
    </row>
    <row r="48" spans="1:16" ht="45">
      <c r="A48" s="141" t="s">
        <v>199</v>
      </c>
      <c r="B48" s="130" t="s">
        <v>171</v>
      </c>
      <c r="C48" s="153">
        <f t="shared" si="2"/>
        <v>0</v>
      </c>
      <c r="D48" s="154"/>
      <c r="E48" s="154"/>
      <c r="F48" s="194"/>
      <c r="G48" s="195"/>
      <c r="H48" s="196"/>
      <c r="I48" s="197"/>
      <c r="J48" s="197"/>
      <c r="K48" s="213" t="s">
        <v>208</v>
      </c>
      <c r="L48" s="198"/>
      <c r="M48" s="4"/>
      <c r="N48" s="4"/>
      <c r="O48" s="4"/>
      <c r="P48" s="4"/>
    </row>
    <row r="49" spans="1:16" ht="30">
      <c r="A49" s="141" t="s">
        <v>130</v>
      </c>
      <c r="B49" s="130" t="s">
        <v>170</v>
      </c>
      <c r="C49" s="153">
        <f t="shared" si="2"/>
        <v>0</v>
      </c>
      <c r="D49" s="154"/>
      <c r="E49" s="154"/>
      <c r="F49" s="194"/>
      <c r="G49" s="195"/>
      <c r="H49" s="196"/>
      <c r="I49" s="197"/>
      <c r="J49" s="197"/>
      <c r="K49" s="213"/>
      <c r="L49" s="198"/>
      <c r="M49" s="4"/>
      <c r="N49" s="4"/>
      <c r="O49" s="4"/>
      <c r="P49" s="4"/>
    </row>
    <row r="50" spans="1:16" ht="16" thickBot="1">
      <c r="A50" s="141" t="s">
        <v>192</v>
      </c>
      <c r="B50" s="130" t="s">
        <v>171</v>
      </c>
      <c r="C50" s="153">
        <f t="shared" si="2"/>
        <v>0</v>
      </c>
      <c r="D50" s="154"/>
      <c r="E50" s="154"/>
      <c r="F50" s="194"/>
      <c r="G50" s="195"/>
      <c r="H50" s="196"/>
      <c r="I50" s="197"/>
      <c r="J50" s="197"/>
      <c r="K50" s="213"/>
      <c r="L50" s="198"/>
      <c r="M50" s="4"/>
      <c r="N50" s="4"/>
      <c r="O50" s="4"/>
      <c r="P50" s="4"/>
    </row>
    <row r="51" spans="1:16" s="9" customFormat="1" ht="16" thickBot="1">
      <c r="A51" s="142" t="s">
        <v>181</v>
      </c>
      <c r="B51" s="143"/>
      <c r="C51" s="199"/>
      <c r="D51" s="200"/>
      <c r="E51" s="200"/>
      <c r="F51" s="201"/>
      <c r="G51" s="201"/>
      <c r="H51" s="202"/>
      <c r="I51" s="203"/>
      <c r="J51" s="203"/>
      <c r="K51" s="215"/>
      <c r="L51" s="204"/>
    </row>
    <row r="52" spans="1:16">
      <c r="A52" s="141" t="s">
        <v>31</v>
      </c>
      <c r="B52" s="130" t="s">
        <v>43</v>
      </c>
      <c r="C52" s="153">
        <f t="shared" ref="C52:C60" si="3">H52</f>
        <v>0</v>
      </c>
      <c r="D52" s="154"/>
      <c r="E52" s="154"/>
      <c r="F52" s="194"/>
      <c r="G52" s="195"/>
      <c r="H52" s="196"/>
      <c r="I52" s="197"/>
      <c r="J52" s="197"/>
      <c r="K52" s="213"/>
      <c r="L52" s="198"/>
      <c r="M52" s="4"/>
      <c r="N52" s="4"/>
      <c r="O52" s="4"/>
      <c r="P52" s="4"/>
    </row>
    <row r="53" spans="1:16">
      <c r="A53" s="141" t="s">
        <v>32</v>
      </c>
      <c r="B53" s="130" t="s">
        <v>43</v>
      </c>
      <c r="C53" s="153">
        <f t="shared" si="3"/>
        <v>0</v>
      </c>
      <c r="D53" s="154"/>
      <c r="E53" s="154"/>
      <c r="F53" s="194"/>
      <c r="G53" s="195"/>
      <c r="H53" s="196"/>
      <c r="I53" s="197"/>
      <c r="J53" s="197"/>
      <c r="K53" s="213"/>
      <c r="L53" s="198"/>
      <c r="M53" s="4"/>
      <c r="N53" s="4"/>
      <c r="O53" s="4"/>
      <c r="P53" s="4"/>
    </row>
    <row r="54" spans="1:16">
      <c r="A54" s="141" t="s">
        <v>33</v>
      </c>
      <c r="B54" s="130"/>
      <c r="C54" s="153">
        <f t="shared" si="3"/>
        <v>0</v>
      </c>
      <c r="D54" s="154"/>
      <c r="E54" s="154"/>
      <c r="F54" s="194"/>
      <c r="G54" s="195"/>
      <c r="H54" s="196"/>
      <c r="I54" s="197"/>
      <c r="J54" s="197"/>
      <c r="K54" s="213"/>
      <c r="L54" s="198"/>
      <c r="M54" s="4"/>
      <c r="N54" s="4"/>
      <c r="O54" s="4"/>
      <c r="P54" s="4"/>
    </row>
    <row r="55" spans="1:16" ht="30">
      <c r="A55" s="141" t="s">
        <v>141</v>
      </c>
      <c r="B55" s="130" t="s">
        <v>43</v>
      </c>
      <c r="C55" s="153">
        <f t="shared" si="3"/>
        <v>0</v>
      </c>
      <c r="D55" s="154"/>
      <c r="E55" s="154"/>
      <c r="F55" s="194"/>
      <c r="G55" s="195"/>
      <c r="H55" s="196"/>
      <c r="I55" s="197"/>
      <c r="J55" s="197"/>
      <c r="K55" s="213"/>
      <c r="L55" s="198"/>
      <c r="M55" s="4"/>
      <c r="N55" s="4"/>
      <c r="O55" s="4"/>
      <c r="P55" s="4"/>
    </row>
    <row r="56" spans="1:16">
      <c r="A56" s="141" t="s">
        <v>35</v>
      </c>
      <c r="B56" s="130" t="s">
        <v>43</v>
      </c>
      <c r="C56" s="153">
        <f t="shared" si="3"/>
        <v>0</v>
      </c>
      <c r="D56" s="154"/>
      <c r="E56" s="154"/>
      <c r="F56" s="194"/>
      <c r="G56" s="195"/>
      <c r="H56" s="196"/>
      <c r="I56" s="197"/>
      <c r="J56" s="197"/>
      <c r="K56" s="213"/>
      <c r="L56" s="198"/>
      <c r="M56" s="4"/>
      <c r="N56" s="4"/>
      <c r="O56" s="4"/>
      <c r="P56" s="4"/>
    </row>
    <row r="57" spans="1:16" s="9" customFormat="1" ht="16" thickBot="1">
      <c r="A57" s="141" t="s">
        <v>36</v>
      </c>
      <c r="B57" s="130" t="s">
        <v>191</v>
      </c>
      <c r="C57" s="153">
        <f t="shared" si="3"/>
        <v>0</v>
      </c>
      <c r="D57" s="154"/>
      <c r="E57" s="154"/>
      <c r="F57" s="194"/>
      <c r="G57" s="195"/>
      <c r="H57" s="196"/>
      <c r="I57" s="197"/>
      <c r="J57" s="197"/>
      <c r="K57" s="213"/>
      <c r="L57" s="198"/>
    </row>
    <row r="58" spans="1:16" s="9" customFormat="1" ht="16" thickBot="1">
      <c r="A58" s="142" t="s">
        <v>37</v>
      </c>
      <c r="B58" s="143"/>
      <c r="C58" s="242">
        <f t="shared" si="3"/>
        <v>0</v>
      </c>
      <c r="D58" s="200"/>
      <c r="E58" s="200"/>
      <c r="F58" s="201"/>
      <c r="G58" s="201"/>
      <c r="H58" s="202"/>
      <c r="I58" s="203"/>
      <c r="J58" s="203"/>
      <c r="K58" s="215"/>
      <c r="L58" s="204"/>
    </row>
    <row r="59" spans="1:16">
      <c r="A59" s="141" t="s">
        <v>38</v>
      </c>
      <c r="B59" s="130" t="s">
        <v>34</v>
      </c>
      <c r="C59" s="46">
        <f t="shared" si="3"/>
        <v>0</v>
      </c>
      <c r="D59" s="154"/>
      <c r="E59" s="154"/>
      <c r="F59" s="194"/>
      <c r="G59" s="195"/>
      <c r="H59" s="196"/>
      <c r="I59" s="197"/>
      <c r="J59" s="197"/>
      <c r="K59" s="213" t="s">
        <v>203</v>
      </c>
      <c r="L59" s="198" t="s">
        <v>209</v>
      </c>
      <c r="M59" s="4"/>
      <c r="N59" s="4"/>
      <c r="O59" s="4"/>
      <c r="P59" s="4"/>
    </row>
    <row r="60" spans="1:16" ht="30">
      <c r="A60" s="141" t="s">
        <v>39</v>
      </c>
      <c r="B60" s="130" t="s">
        <v>34</v>
      </c>
      <c r="C60" s="45">
        <f t="shared" si="3"/>
        <v>0</v>
      </c>
      <c r="D60" s="154"/>
      <c r="E60" s="154"/>
      <c r="F60" s="194"/>
      <c r="G60" s="195"/>
      <c r="H60" s="196"/>
      <c r="I60" s="197"/>
      <c r="J60" s="197"/>
      <c r="K60" s="213"/>
      <c r="L60" s="198"/>
      <c r="M60" s="4"/>
      <c r="N60" s="4"/>
      <c r="O60" s="4"/>
      <c r="P60" s="4"/>
    </row>
    <row r="61" spans="1:16">
      <c r="A61" s="145"/>
      <c r="B61" s="144"/>
    </row>
    <row r="62" spans="1:16">
      <c r="A62" s="145"/>
      <c r="B62" s="144"/>
    </row>
    <row r="63" spans="1:16">
      <c r="A63" s="145"/>
      <c r="B63" s="144"/>
    </row>
    <row r="64" spans="1:16">
      <c r="A64" s="145"/>
      <c r="B64" s="144"/>
    </row>
    <row r="65" spans="1:16">
      <c r="A65" s="145"/>
      <c r="B65" s="144"/>
    </row>
    <row r="66" spans="1:16">
      <c r="A66" s="145"/>
      <c r="B66" s="144"/>
    </row>
    <row r="67" spans="1:16">
      <c r="A67" s="145"/>
      <c r="B67" s="144"/>
    </row>
    <row r="68" spans="1:16">
      <c r="A68" s="145"/>
      <c r="B68" s="144"/>
    </row>
    <row r="69" spans="1:16">
      <c r="A69" s="145"/>
      <c r="B69" s="144"/>
    </row>
    <row r="70" spans="1:16">
      <c r="A70" s="145"/>
      <c r="B70" s="144"/>
      <c r="C70" s="4"/>
      <c r="D70" s="4"/>
      <c r="E70" s="4"/>
      <c r="F70" s="113"/>
      <c r="G70" s="4"/>
      <c r="H70" s="4"/>
      <c r="I70" s="4"/>
      <c r="J70" s="4"/>
      <c r="K70" s="113"/>
      <c r="L70" s="4"/>
      <c r="M70" s="4"/>
      <c r="N70" s="4"/>
      <c r="O70" s="4"/>
      <c r="P70" s="4"/>
    </row>
    <row r="71" spans="1:16">
      <c r="A71" s="145"/>
      <c r="B71" s="144"/>
      <c r="C71" s="4"/>
      <c r="D71" s="4"/>
      <c r="E71" s="4"/>
      <c r="F71" s="113"/>
      <c r="G71" s="4"/>
      <c r="H71" s="4"/>
      <c r="I71" s="4"/>
      <c r="J71" s="4"/>
      <c r="K71" s="113"/>
      <c r="L71" s="4"/>
      <c r="M71" s="4"/>
      <c r="N71" s="4"/>
      <c r="O71" s="4"/>
      <c r="P71" s="4"/>
    </row>
    <row r="72" spans="1:16">
      <c r="A72" s="145"/>
      <c r="B72" s="144"/>
      <c r="C72" s="4"/>
      <c r="D72" s="4"/>
      <c r="E72" s="4"/>
      <c r="F72" s="113"/>
      <c r="G72" s="4"/>
      <c r="H72" s="4"/>
      <c r="I72" s="4"/>
      <c r="J72" s="4"/>
      <c r="K72" s="113"/>
      <c r="L72" s="4"/>
      <c r="M72" s="4"/>
      <c r="N72" s="4"/>
      <c r="O72" s="4"/>
      <c r="P72" s="4"/>
    </row>
    <row r="73" spans="1:16">
      <c r="A73" s="145"/>
      <c r="B73" s="144"/>
      <c r="C73" s="4"/>
      <c r="D73" s="4"/>
      <c r="E73" s="4"/>
      <c r="F73" s="113"/>
      <c r="G73" s="4"/>
      <c r="H73" s="4"/>
      <c r="I73" s="4"/>
      <c r="J73" s="4"/>
      <c r="K73" s="113"/>
      <c r="L73" s="4"/>
      <c r="M73" s="4"/>
      <c r="N73" s="4"/>
      <c r="O73" s="4"/>
      <c r="P73" s="4"/>
    </row>
    <row r="74" spans="1:16">
      <c r="A74" s="145"/>
      <c r="B74" s="144"/>
      <c r="C74" s="4"/>
      <c r="D74" s="4"/>
      <c r="E74" s="4"/>
      <c r="F74" s="113"/>
      <c r="G74" s="4"/>
      <c r="H74" s="4"/>
      <c r="I74" s="4"/>
      <c r="J74" s="4"/>
      <c r="K74" s="113"/>
      <c r="L74" s="4"/>
      <c r="M74" s="4"/>
      <c r="N74" s="4"/>
      <c r="O74" s="4"/>
      <c r="P74" s="4"/>
    </row>
    <row r="75" spans="1:16">
      <c r="A75" s="145"/>
      <c r="B75" s="144"/>
      <c r="C75" s="4"/>
      <c r="D75" s="4"/>
      <c r="E75" s="4"/>
      <c r="F75" s="113"/>
      <c r="G75" s="4"/>
      <c r="H75" s="4"/>
      <c r="I75" s="4"/>
      <c r="J75" s="4"/>
      <c r="K75" s="113"/>
      <c r="L75" s="4"/>
      <c r="M75" s="4"/>
      <c r="N75" s="4"/>
      <c r="O75" s="4"/>
      <c r="P75" s="4"/>
    </row>
    <row r="76" spans="1:16">
      <c r="A76" s="145"/>
      <c r="B76" s="144"/>
      <c r="C76" s="4"/>
      <c r="D76" s="4"/>
      <c r="E76" s="4"/>
      <c r="F76" s="113"/>
      <c r="G76" s="4"/>
      <c r="H76" s="4"/>
      <c r="I76" s="4"/>
      <c r="J76" s="4"/>
      <c r="K76" s="113"/>
      <c r="L76" s="4"/>
      <c r="M76" s="4"/>
      <c r="N76" s="4"/>
      <c r="O76" s="4"/>
      <c r="P76" s="4"/>
    </row>
    <row r="77" spans="1:16">
      <c r="A77" s="145"/>
      <c r="B77" s="144"/>
      <c r="C77" s="4"/>
      <c r="D77" s="4"/>
      <c r="E77" s="4"/>
      <c r="F77" s="113"/>
      <c r="G77" s="4"/>
      <c r="H77" s="4"/>
      <c r="I77" s="4"/>
      <c r="J77" s="4"/>
      <c r="K77" s="113"/>
      <c r="L77" s="4"/>
      <c r="M77" s="4"/>
      <c r="N77" s="4"/>
      <c r="O77" s="4"/>
      <c r="P77" s="4"/>
    </row>
    <row r="78" spans="1:16">
      <c r="A78" s="145"/>
      <c r="B78" s="144"/>
      <c r="C78" s="4"/>
      <c r="D78" s="4"/>
      <c r="E78" s="4"/>
      <c r="F78" s="113"/>
      <c r="G78" s="4"/>
      <c r="H78" s="4"/>
      <c r="I78" s="4"/>
      <c r="J78" s="4"/>
      <c r="K78" s="113"/>
      <c r="L78" s="4"/>
      <c r="M78" s="4"/>
      <c r="N78" s="4"/>
      <c r="O78" s="4"/>
      <c r="P78" s="4"/>
    </row>
    <row r="79" spans="1:16">
      <c r="A79" s="145"/>
      <c r="B79" s="144"/>
      <c r="C79" s="4"/>
      <c r="D79" s="4"/>
      <c r="E79" s="4"/>
      <c r="F79" s="113"/>
      <c r="G79" s="4"/>
      <c r="H79" s="4"/>
      <c r="I79" s="4"/>
      <c r="J79" s="4"/>
      <c r="K79" s="113"/>
      <c r="L79" s="4"/>
      <c r="M79" s="4"/>
      <c r="N79" s="4"/>
      <c r="O79" s="4"/>
      <c r="P79" s="4"/>
    </row>
    <row r="80" spans="1:16">
      <c r="A80" s="145"/>
      <c r="B80" s="144"/>
      <c r="C80" s="4"/>
      <c r="D80" s="4"/>
      <c r="E80" s="4"/>
      <c r="F80" s="113"/>
      <c r="G80" s="4"/>
      <c r="H80" s="4"/>
      <c r="I80" s="4"/>
      <c r="J80" s="4"/>
      <c r="K80" s="113"/>
      <c r="L80" s="4"/>
      <c r="M80" s="4"/>
      <c r="N80" s="4"/>
      <c r="O80" s="4"/>
      <c r="P80" s="4"/>
    </row>
    <row r="81" spans="1:16">
      <c r="A81" s="145"/>
      <c r="B81" s="144"/>
      <c r="C81" s="4"/>
      <c r="D81" s="4"/>
      <c r="E81" s="4"/>
      <c r="F81" s="113"/>
      <c r="G81" s="4"/>
      <c r="H81" s="4"/>
      <c r="I81" s="4"/>
      <c r="J81" s="4"/>
      <c r="K81" s="113"/>
      <c r="L81" s="4"/>
      <c r="M81" s="4"/>
      <c r="N81" s="4"/>
      <c r="O81" s="4"/>
      <c r="P81" s="4"/>
    </row>
    <row r="82" spans="1:16">
      <c r="A82" s="145"/>
      <c r="B82" s="144"/>
      <c r="C82" s="4"/>
      <c r="D82" s="4"/>
      <c r="E82" s="4"/>
      <c r="F82" s="113"/>
      <c r="G82" s="4"/>
      <c r="H82" s="4"/>
      <c r="I82" s="4"/>
      <c r="J82" s="4"/>
      <c r="K82" s="113"/>
      <c r="L82" s="4"/>
      <c r="M82" s="4"/>
      <c r="N82" s="4"/>
      <c r="O82" s="4"/>
      <c r="P82" s="4"/>
    </row>
    <row r="83" spans="1:16">
      <c r="A83" s="145"/>
      <c r="B83" s="144"/>
      <c r="C83" s="4"/>
      <c r="D83" s="4"/>
      <c r="E83" s="4"/>
      <c r="F83" s="113"/>
      <c r="G83" s="4"/>
      <c r="H83" s="4"/>
      <c r="I83" s="4"/>
      <c r="J83" s="4"/>
      <c r="K83" s="113"/>
      <c r="L83" s="4"/>
      <c r="M83" s="4"/>
      <c r="N83" s="4"/>
      <c r="O83" s="4"/>
      <c r="P83" s="4"/>
    </row>
    <row r="84" spans="1:16">
      <c r="A84" s="145"/>
      <c r="B84" s="144"/>
      <c r="C84" s="4"/>
      <c r="D84" s="4"/>
      <c r="E84" s="4"/>
      <c r="F84" s="113"/>
      <c r="G84" s="4"/>
      <c r="H84" s="4"/>
      <c r="I84" s="4"/>
      <c r="J84" s="4"/>
      <c r="K84" s="113"/>
      <c r="L84" s="4"/>
      <c r="M84" s="4"/>
      <c r="N84" s="4"/>
      <c r="O84" s="4"/>
      <c r="P84" s="4"/>
    </row>
    <row r="85" spans="1:16">
      <c r="A85" s="145"/>
      <c r="B85" s="144"/>
      <c r="C85" s="4"/>
      <c r="D85" s="4"/>
      <c r="E85" s="4"/>
      <c r="F85" s="113"/>
      <c r="G85" s="4"/>
      <c r="H85" s="4"/>
      <c r="I85" s="4"/>
      <c r="J85" s="4"/>
      <c r="K85" s="113"/>
      <c r="L85" s="4"/>
      <c r="M85" s="4"/>
      <c r="N85" s="4"/>
      <c r="O85" s="4"/>
      <c r="P85" s="4"/>
    </row>
    <row r="86" spans="1:16">
      <c r="A86" s="145"/>
      <c r="B86" s="144"/>
      <c r="C86" s="4"/>
      <c r="D86" s="4"/>
      <c r="E86" s="4"/>
      <c r="F86" s="113"/>
      <c r="G86" s="4"/>
      <c r="H86" s="4"/>
      <c r="I86" s="4"/>
      <c r="J86" s="4"/>
      <c r="K86" s="113"/>
      <c r="L86" s="4"/>
      <c r="M86" s="4"/>
      <c r="N86" s="4"/>
      <c r="O86" s="4"/>
      <c r="P86" s="4"/>
    </row>
    <row r="87" spans="1:16">
      <c r="A87" s="145"/>
      <c r="B87" s="144"/>
      <c r="C87" s="4"/>
      <c r="D87" s="4"/>
      <c r="E87" s="4"/>
      <c r="F87" s="113"/>
      <c r="G87" s="4"/>
      <c r="H87" s="4"/>
      <c r="I87" s="4"/>
      <c r="J87" s="4"/>
      <c r="K87" s="113"/>
      <c r="L87" s="4"/>
      <c r="M87" s="4"/>
      <c r="N87" s="4"/>
      <c r="O87" s="4"/>
      <c r="P87" s="4"/>
    </row>
    <row r="88" spans="1:16">
      <c r="A88" s="145"/>
      <c r="B88" s="144"/>
      <c r="C88" s="4"/>
      <c r="D88" s="4"/>
      <c r="E88" s="4"/>
      <c r="F88" s="113"/>
      <c r="G88" s="4"/>
      <c r="H88" s="4"/>
      <c r="I88" s="4"/>
      <c r="J88" s="4"/>
      <c r="K88" s="113"/>
      <c r="L88" s="4"/>
      <c r="M88" s="4"/>
      <c r="N88" s="4"/>
      <c r="O88" s="4"/>
      <c r="P88" s="4"/>
    </row>
    <row r="89" spans="1:16">
      <c r="A89" s="145"/>
      <c r="B89" s="144"/>
      <c r="C89" s="4"/>
      <c r="D89" s="4"/>
      <c r="E89" s="4"/>
      <c r="F89" s="113"/>
      <c r="G89" s="4"/>
      <c r="H89" s="4"/>
      <c r="I89" s="4"/>
      <c r="J89" s="4"/>
      <c r="K89" s="113"/>
      <c r="L89" s="4"/>
      <c r="M89" s="4"/>
      <c r="N89" s="4"/>
      <c r="O89" s="4"/>
      <c r="P89" s="4"/>
    </row>
    <row r="90" spans="1:16">
      <c r="A90" s="145"/>
      <c r="B90" s="144"/>
      <c r="C90" s="4"/>
      <c r="D90" s="4"/>
      <c r="E90" s="4"/>
      <c r="F90" s="113"/>
      <c r="G90" s="4"/>
      <c r="H90" s="4"/>
      <c r="I90" s="4"/>
      <c r="J90" s="4"/>
      <c r="K90" s="113"/>
      <c r="L90" s="4"/>
      <c r="M90" s="4"/>
      <c r="N90" s="4"/>
      <c r="O90" s="4"/>
      <c r="P90" s="4"/>
    </row>
    <row r="91" spans="1:16">
      <c r="A91" s="145"/>
      <c r="B91" s="144"/>
      <c r="C91" s="4"/>
      <c r="D91" s="4"/>
      <c r="E91" s="4"/>
      <c r="F91" s="113"/>
      <c r="G91" s="4"/>
      <c r="H91" s="4"/>
      <c r="I91" s="4"/>
      <c r="J91" s="4"/>
      <c r="K91" s="113"/>
      <c r="L91" s="4"/>
      <c r="M91" s="4"/>
      <c r="N91" s="4"/>
      <c r="O91" s="4"/>
      <c r="P91" s="4"/>
    </row>
    <row r="92" spans="1:16">
      <c r="A92" s="145"/>
      <c r="B92" s="144"/>
      <c r="C92" s="4"/>
      <c r="D92" s="4"/>
      <c r="E92" s="4"/>
      <c r="F92" s="113"/>
      <c r="G92" s="4"/>
      <c r="H92" s="4"/>
      <c r="I92" s="4"/>
      <c r="J92" s="4"/>
      <c r="K92" s="113"/>
      <c r="L92" s="4"/>
      <c r="M92" s="4"/>
      <c r="N92" s="4"/>
      <c r="O92" s="4"/>
      <c r="P92" s="4"/>
    </row>
    <row r="93" spans="1:16">
      <c r="A93" s="145"/>
      <c r="B93" s="144"/>
      <c r="C93" s="4"/>
      <c r="D93" s="4"/>
      <c r="E93" s="4"/>
      <c r="F93" s="113"/>
      <c r="G93" s="4"/>
      <c r="H93" s="4"/>
      <c r="I93" s="4"/>
      <c r="J93" s="4"/>
      <c r="K93" s="113"/>
      <c r="L93" s="4"/>
      <c r="M93" s="4"/>
      <c r="N93" s="4"/>
      <c r="O93" s="4"/>
      <c r="P93" s="4"/>
    </row>
    <row r="94" spans="1:16">
      <c r="A94" s="145"/>
      <c r="B94" s="144"/>
      <c r="C94" s="4"/>
      <c r="D94" s="4"/>
      <c r="E94" s="4"/>
      <c r="F94" s="113"/>
      <c r="G94" s="4"/>
      <c r="H94" s="4"/>
      <c r="I94" s="4"/>
      <c r="J94" s="4"/>
      <c r="K94" s="113"/>
      <c r="L94" s="4"/>
      <c r="M94" s="4"/>
      <c r="N94" s="4"/>
      <c r="O94" s="4"/>
      <c r="P94" s="4"/>
    </row>
    <row r="95" spans="1:16">
      <c r="A95" s="145"/>
      <c r="B95" s="144"/>
      <c r="C95" s="4"/>
      <c r="D95" s="4"/>
      <c r="E95" s="4"/>
      <c r="F95" s="113"/>
      <c r="G95" s="4"/>
      <c r="H95" s="4"/>
      <c r="I95" s="4"/>
      <c r="J95" s="4"/>
      <c r="K95" s="113"/>
      <c r="L95" s="4"/>
      <c r="M95" s="4"/>
      <c r="N95" s="4"/>
      <c r="O95" s="4"/>
      <c r="P95" s="4"/>
    </row>
    <row r="96" spans="1:16">
      <c r="A96" s="145"/>
      <c r="B96" s="144"/>
      <c r="C96" s="4"/>
      <c r="D96" s="4"/>
      <c r="E96" s="4"/>
      <c r="F96" s="113"/>
      <c r="G96" s="4"/>
      <c r="H96" s="4"/>
      <c r="I96" s="4"/>
      <c r="J96" s="4"/>
      <c r="K96" s="113"/>
      <c r="L96" s="4"/>
      <c r="M96" s="4"/>
      <c r="N96" s="4"/>
      <c r="O96" s="4"/>
      <c r="P96" s="4"/>
    </row>
    <row r="97" spans="1:16">
      <c r="A97" s="145"/>
      <c r="B97" s="144"/>
      <c r="C97" s="4"/>
      <c r="D97" s="4"/>
      <c r="E97" s="4"/>
      <c r="F97" s="113"/>
      <c r="G97" s="4"/>
      <c r="H97" s="4"/>
      <c r="I97" s="4"/>
      <c r="J97" s="4"/>
      <c r="K97" s="113"/>
      <c r="L97" s="4"/>
      <c r="M97" s="4"/>
      <c r="N97" s="4"/>
      <c r="O97" s="4"/>
      <c r="P97" s="4"/>
    </row>
    <row r="98" spans="1:16">
      <c r="A98" s="145"/>
      <c r="B98" s="144"/>
      <c r="C98" s="4"/>
      <c r="D98" s="4"/>
      <c r="E98" s="4"/>
      <c r="F98" s="113"/>
      <c r="G98" s="4"/>
      <c r="H98" s="4"/>
      <c r="I98" s="4"/>
      <c r="J98" s="4"/>
      <c r="K98" s="113"/>
      <c r="L98" s="4"/>
      <c r="M98" s="4"/>
      <c r="N98" s="4"/>
      <c r="O98" s="4"/>
      <c r="P98" s="4"/>
    </row>
    <row r="99" spans="1:16">
      <c r="A99" s="145"/>
      <c r="B99" s="144"/>
      <c r="C99" s="4"/>
      <c r="D99" s="4"/>
      <c r="E99" s="4"/>
      <c r="F99" s="113"/>
      <c r="G99" s="4"/>
      <c r="H99" s="4"/>
      <c r="I99" s="4"/>
      <c r="J99" s="4"/>
      <c r="K99" s="113"/>
      <c r="L99" s="4"/>
      <c r="M99" s="4"/>
      <c r="N99" s="4"/>
      <c r="O99" s="4"/>
      <c r="P99" s="4"/>
    </row>
  </sheetData>
  <mergeCells count="2">
    <mergeCell ref="G5:G6"/>
    <mergeCell ref="L5:L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tint="-0.499984740745262"/>
  </sheetPr>
  <dimension ref="A1:L101"/>
  <sheetViews>
    <sheetView topLeftCell="A32" workbookViewId="0">
      <selection activeCell="C5" sqref="C5"/>
    </sheetView>
  </sheetViews>
  <sheetFormatPr baseColWidth="10" defaultRowHeight="15" x14ac:dyDescent="0"/>
  <cols>
    <col min="1" max="1" width="24" style="11" customWidth="1"/>
    <col min="2" max="2" width="17.1640625" style="20" customWidth="1"/>
    <col min="3" max="3" width="10.83203125" style="40" customWidth="1"/>
    <col min="4" max="5" width="10.83203125" style="20" customWidth="1"/>
    <col min="6" max="6" width="24.83203125" style="216" customWidth="1"/>
    <col min="7" max="7" width="24.83203125" style="26" customWidth="1"/>
    <col min="8" max="10" width="10.83203125" style="27"/>
    <col min="11" max="11" width="24.83203125" style="216" customWidth="1"/>
    <col min="12" max="12" width="24.83203125" style="26" customWidth="1"/>
    <col min="13" max="16384" width="10.83203125" style="4"/>
  </cols>
  <sheetData>
    <row r="1" spans="1:12" s="1" customFormat="1">
      <c r="A1" s="2" t="s">
        <v>6</v>
      </c>
      <c r="B1" s="19"/>
      <c r="C1" s="39"/>
      <c r="D1" s="19"/>
      <c r="E1" s="19"/>
      <c r="F1" s="25"/>
      <c r="G1" s="25"/>
      <c r="H1" s="19"/>
      <c r="I1" s="19"/>
      <c r="J1" s="19"/>
      <c r="K1" s="25"/>
      <c r="L1" s="25"/>
    </row>
    <row r="2" spans="1:12">
      <c r="A2" s="3"/>
    </row>
    <row r="3" spans="1:12">
      <c r="C3" s="41" t="s">
        <v>202</v>
      </c>
      <c r="D3" s="28"/>
      <c r="E3" s="28"/>
      <c r="F3" s="38"/>
      <c r="G3" s="190"/>
      <c r="H3" s="29" t="s">
        <v>201</v>
      </c>
      <c r="I3" s="30"/>
      <c r="J3" s="30"/>
      <c r="K3" s="214"/>
      <c r="L3" s="31"/>
    </row>
    <row r="4" spans="1:12" s="9" customFormat="1" ht="61" thickBot="1">
      <c r="A4" s="139" t="s">
        <v>0</v>
      </c>
      <c r="B4" s="140" t="s">
        <v>1</v>
      </c>
      <c r="C4" s="42" t="s">
        <v>2</v>
      </c>
      <c r="D4" s="5" t="s">
        <v>3</v>
      </c>
      <c r="E4" s="6" t="s">
        <v>4</v>
      </c>
      <c r="F4" s="5" t="s">
        <v>45</v>
      </c>
      <c r="G4" s="6" t="s">
        <v>5</v>
      </c>
      <c r="H4" s="7" t="s">
        <v>2</v>
      </c>
      <c r="I4" s="7" t="s">
        <v>3</v>
      </c>
      <c r="J4" s="7" t="s">
        <v>4</v>
      </c>
      <c r="K4" s="7" t="s">
        <v>45</v>
      </c>
      <c r="L4" s="8" t="s">
        <v>5</v>
      </c>
    </row>
    <row r="5" spans="1:12" s="9" customFormat="1" ht="45">
      <c r="A5" s="13" t="s">
        <v>124</v>
      </c>
      <c r="B5" s="14" t="s">
        <v>128</v>
      </c>
      <c r="C5" s="43"/>
      <c r="D5" s="21"/>
      <c r="E5" s="21"/>
      <c r="F5" s="15"/>
      <c r="G5" s="297"/>
      <c r="H5" s="23"/>
      <c r="I5" s="23"/>
      <c r="J5" s="23"/>
      <c r="K5" s="117"/>
      <c r="L5" s="299" t="s">
        <v>151</v>
      </c>
    </row>
    <row r="6" spans="1:12" s="9" customFormat="1" ht="16" thickBot="1">
      <c r="A6" s="16" t="s">
        <v>40</v>
      </c>
      <c r="B6" s="17" t="s">
        <v>115</v>
      </c>
      <c r="C6" s="44"/>
      <c r="D6" s="22"/>
      <c r="E6" s="22"/>
      <c r="F6" s="18"/>
      <c r="G6" s="298"/>
      <c r="H6" s="24"/>
      <c r="I6" s="24"/>
      <c r="J6" s="24"/>
      <c r="K6" s="119"/>
      <c r="L6" s="300"/>
    </row>
    <row r="7" spans="1:12" ht="60">
      <c r="A7" s="141" t="s">
        <v>129</v>
      </c>
      <c r="B7" s="130" t="s">
        <v>169</v>
      </c>
      <c r="C7" s="153">
        <f>H7</f>
        <v>15</v>
      </c>
      <c r="D7" s="154"/>
      <c r="E7" s="154"/>
      <c r="F7" s="194"/>
      <c r="G7" s="195"/>
      <c r="H7" s="196">
        <v>15</v>
      </c>
      <c r="I7" s="197"/>
      <c r="J7" s="197"/>
      <c r="K7" s="213"/>
      <c r="L7" s="198" t="s">
        <v>213</v>
      </c>
    </row>
    <row r="8" spans="1:12">
      <c r="A8" s="141" t="s">
        <v>131</v>
      </c>
      <c r="B8" s="130" t="s">
        <v>169</v>
      </c>
      <c r="C8" s="240">
        <f>H8/(1+(4.6-3.1)/3.1)</f>
        <v>8.0869565217391308</v>
      </c>
      <c r="D8" s="154"/>
      <c r="E8" s="154"/>
      <c r="F8" s="194"/>
      <c r="G8" s="195"/>
      <c r="H8" s="196">
        <v>12</v>
      </c>
      <c r="I8" s="197"/>
      <c r="J8" s="197"/>
      <c r="K8" s="213"/>
      <c r="L8" s="198"/>
    </row>
    <row r="9" spans="1:12">
      <c r="A9" s="141" t="s">
        <v>132</v>
      </c>
      <c r="B9" s="130" t="s">
        <v>172</v>
      </c>
      <c r="C9" s="240">
        <f>H9/(1+(56.7-36.1)/36.1)</f>
        <v>1.2733686067019401</v>
      </c>
      <c r="D9" s="154"/>
      <c r="E9" s="154"/>
      <c r="F9" s="194"/>
      <c r="G9" s="195"/>
      <c r="H9" s="196">
        <v>2</v>
      </c>
      <c r="I9" s="197"/>
      <c r="J9" s="197">
        <v>30</v>
      </c>
      <c r="K9" s="213"/>
      <c r="L9" s="198" t="s">
        <v>152</v>
      </c>
    </row>
    <row r="10" spans="1:12" ht="30">
      <c r="A10" s="141" t="s">
        <v>133</v>
      </c>
      <c r="B10" s="130" t="s">
        <v>176</v>
      </c>
      <c r="C10" s="244">
        <f>H10/H9*C9</f>
        <v>16553.791887125222</v>
      </c>
      <c r="D10" s="154"/>
      <c r="E10" s="154"/>
      <c r="F10" s="194"/>
      <c r="G10" s="195" t="s">
        <v>232</v>
      </c>
      <c r="H10" s="196">
        <v>26000</v>
      </c>
      <c r="I10" s="197">
        <f>1.7*I9*1000</f>
        <v>0</v>
      </c>
      <c r="J10" s="197">
        <f>1.7*J9*1000</f>
        <v>51000</v>
      </c>
      <c r="K10" s="213"/>
      <c r="L10" s="198" t="s">
        <v>154</v>
      </c>
    </row>
    <row r="11" spans="1:12" s="9" customFormat="1" ht="91" thickBot="1">
      <c r="A11" s="141" t="s">
        <v>7</v>
      </c>
      <c r="B11" s="130" t="s">
        <v>191</v>
      </c>
      <c r="C11" s="153">
        <f>H11*1.2</f>
        <v>1200</v>
      </c>
      <c r="D11" s="154"/>
      <c r="E11" s="154"/>
      <c r="F11" s="194"/>
      <c r="G11" s="195" t="s">
        <v>235</v>
      </c>
      <c r="H11" s="196">
        <v>1000</v>
      </c>
      <c r="I11" s="197"/>
      <c r="J11" s="197"/>
      <c r="K11" s="213"/>
      <c r="L11" s="198"/>
    </row>
    <row r="12" spans="1:12" ht="31" thickBot="1">
      <c r="A12" s="142" t="s">
        <v>134</v>
      </c>
      <c r="B12" s="143"/>
      <c r="C12" s="199"/>
      <c r="D12" s="200"/>
      <c r="E12" s="200"/>
      <c r="F12" s="201"/>
      <c r="G12" s="201"/>
      <c r="H12" s="202"/>
      <c r="I12" s="203"/>
      <c r="J12" s="203"/>
      <c r="K12" s="215"/>
      <c r="L12" s="204"/>
    </row>
    <row r="13" spans="1:12" s="238" customFormat="1">
      <c r="A13" s="229" t="s">
        <v>8</v>
      </c>
      <c r="B13" s="230"/>
      <c r="C13" s="153">
        <f t="shared" ref="C13:C14" si="0">H13</f>
        <v>0</v>
      </c>
      <c r="D13" s="231"/>
      <c r="E13" s="231"/>
      <c r="F13" s="232"/>
      <c r="G13" s="233"/>
      <c r="H13" s="234"/>
      <c r="I13" s="235"/>
      <c r="J13" s="235"/>
      <c r="K13" s="236"/>
      <c r="L13" s="237"/>
    </row>
    <row r="14" spans="1:12">
      <c r="A14" s="141" t="s">
        <v>135</v>
      </c>
      <c r="B14" s="130" t="s">
        <v>173</v>
      </c>
      <c r="C14" s="153">
        <f t="shared" si="0"/>
        <v>10</v>
      </c>
      <c r="D14" s="154"/>
      <c r="E14" s="154"/>
      <c r="F14" s="194"/>
      <c r="G14" s="195"/>
      <c r="H14" s="196">
        <v>10</v>
      </c>
      <c r="I14" s="197"/>
      <c r="J14" s="197"/>
      <c r="K14" s="213" t="s">
        <v>153</v>
      </c>
      <c r="L14" s="198"/>
    </row>
    <row r="15" spans="1:12" ht="30">
      <c r="A15" s="141" t="s">
        <v>136</v>
      </c>
      <c r="B15" s="130" t="s">
        <v>171</v>
      </c>
      <c r="C15" s="153">
        <f>H15</f>
        <v>30</v>
      </c>
      <c r="D15" s="154"/>
      <c r="E15" s="154"/>
      <c r="F15" s="194"/>
      <c r="G15" s="195"/>
      <c r="H15" s="196">
        <v>30</v>
      </c>
      <c r="I15" s="197"/>
      <c r="J15" s="197"/>
      <c r="K15" s="213" t="s">
        <v>155</v>
      </c>
      <c r="L15" s="198" t="s">
        <v>211</v>
      </c>
    </row>
    <row r="16" spans="1:12" ht="30">
      <c r="A16" s="141" t="s">
        <v>9</v>
      </c>
      <c r="B16" s="130" t="s">
        <v>174</v>
      </c>
      <c r="C16" s="153">
        <f t="shared" ref="C16:C43" si="1">H16</f>
        <v>65</v>
      </c>
      <c r="D16" s="154"/>
      <c r="E16" s="154"/>
      <c r="F16" s="194"/>
      <c r="G16" s="195"/>
      <c r="H16" s="196">
        <v>65</v>
      </c>
      <c r="I16" s="197"/>
      <c r="J16" s="197"/>
      <c r="K16" s="213" t="s">
        <v>155</v>
      </c>
      <c r="L16" s="198" t="s">
        <v>188</v>
      </c>
    </row>
    <row r="17" spans="1:12" ht="30">
      <c r="A17" s="141" t="s">
        <v>204</v>
      </c>
      <c r="B17" s="130" t="s">
        <v>177</v>
      </c>
      <c r="C17" s="153">
        <f t="shared" si="1"/>
        <v>10</v>
      </c>
      <c r="D17" s="154"/>
      <c r="E17" s="154"/>
      <c r="F17" s="194"/>
      <c r="G17" s="195"/>
      <c r="H17" s="196">
        <v>10</v>
      </c>
      <c r="I17" s="197">
        <v>10</v>
      </c>
      <c r="J17" s="197">
        <v>20</v>
      </c>
      <c r="K17" s="213" t="s">
        <v>155</v>
      </c>
      <c r="L17" s="198" t="s">
        <v>189</v>
      </c>
    </row>
    <row r="18" spans="1:12">
      <c r="A18" s="141" t="s">
        <v>10</v>
      </c>
      <c r="B18" s="130" t="s">
        <v>175</v>
      </c>
      <c r="C18" s="153" t="str">
        <f t="shared" si="1"/>
        <v>-</v>
      </c>
      <c r="D18" s="154"/>
      <c r="E18" s="154"/>
      <c r="F18" s="194"/>
      <c r="G18" s="195"/>
      <c r="H18" s="196" t="s">
        <v>43</v>
      </c>
      <c r="I18" s="197"/>
      <c r="J18" s="197"/>
      <c r="K18" s="213"/>
      <c r="L18" s="198"/>
    </row>
    <row r="19" spans="1:12">
      <c r="A19" s="141" t="s">
        <v>11</v>
      </c>
      <c r="B19" s="130" t="s">
        <v>176</v>
      </c>
      <c r="C19" s="153" t="str">
        <f t="shared" si="1"/>
        <v>-</v>
      </c>
      <c r="D19" s="154"/>
      <c r="E19" s="154"/>
      <c r="F19" s="194"/>
      <c r="G19" s="195"/>
      <c r="H19" s="196" t="s">
        <v>43</v>
      </c>
      <c r="I19" s="197"/>
      <c r="J19" s="197"/>
      <c r="K19" s="213"/>
      <c r="L19" s="198"/>
    </row>
    <row r="20" spans="1:12">
      <c r="A20" s="141" t="s">
        <v>12</v>
      </c>
      <c r="B20" s="130" t="s">
        <v>178</v>
      </c>
      <c r="C20" s="153" t="str">
        <f t="shared" si="1"/>
        <v>-</v>
      </c>
      <c r="D20" s="154"/>
      <c r="E20" s="154"/>
      <c r="F20" s="194"/>
      <c r="G20" s="195"/>
      <c r="H20" s="196" t="s">
        <v>43</v>
      </c>
      <c r="I20" s="197"/>
      <c r="J20" s="197"/>
      <c r="K20" s="213"/>
      <c r="L20" s="198"/>
    </row>
    <row r="21" spans="1:12">
      <c r="A21" s="141" t="s">
        <v>13</v>
      </c>
      <c r="B21" s="130" t="s">
        <v>176</v>
      </c>
      <c r="C21" s="153" t="str">
        <f t="shared" si="1"/>
        <v>-</v>
      </c>
      <c r="D21" s="154"/>
      <c r="E21" s="154"/>
      <c r="F21" s="194"/>
      <c r="G21" s="195"/>
      <c r="H21" s="196" t="s">
        <v>43</v>
      </c>
      <c r="I21" s="197"/>
      <c r="J21" s="197"/>
      <c r="K21" s="213"/>
      <c r="L21" s="198"/>
    </row>
    <row r="22" spans="1:12">
      <c r="A22" s="141" t="s">
        <v>108</v>
      </c>
      <c r="B22" s="130" t="s">
        <v>174</v>
      </c>
      <c r="C22" s="153">
        <f t="shared" si="1"/>
        <v>8</v>
      </c>
      <c r="D22" s="154"/>
      <c r="E22" s="154"/>
      <c r="F22" s="194"/>
      <c r="G22" s="195"/>
      <c r="H22" s="196">
        <v>8</v>
      </c>
      <c r="I22" s="197"/>
      <c r="J22" s="197"/>
      <c r="K22" s="213"/>
      <c r="L22" s="198"/>
    </row>
    <row r="23" spans="1:12">
      <c r="A23" s="141" t="s">
        <v>109</v>
      </c>
      <c r="B23" s="130" t="s">
        <v>176</v>
      </c>
      <c r="C23" s="153">
        <f t="shared" si="1"/>
        <v>15</v>
      </c>
      <c r="D23" s="154"/>
      <c r="E23" s="154"/>
      <c r="F23" s="194"/>
      <c r="G23" s="195"/>
      <c r="H23" s="196">
        <v>15</v>
      </c>
      <c r="I23" s="197"/>
      <c r="J23" s="197"/>
      <c r="K23" s="213" t="s">
        <v>155</v>
      </c>
      <c r="L23" s="198"/>
    </row>
    <row r="24" spans="1:12" s="238" customFormat="1">
      <c r="A24" s="229" t="s">
        <v>137</v>
      </c>
      <c r="B24" s="230"/>
      <c r="C24" s="153">
        <f t="shared" si="1"/>
        <v>0</v>
      </c>
      <c r="D24" s="231"/>
      <c r="E24" s="231"/>
      <c r="F24" s="232"/>
      <c r="G24" s="233"/>
      <c r="H24" s="234"/>
      <c r="I24" s="235"/>
      <c r="J24" s="235"/>
      <c r="K24" s="236"/>
      <c r="L24" s="237"/>
    </row>
    <row r="25" spans="1:12" s="9" customFormat="1" ht="30">
      <c r="A25" s="141" t="s">
        <v>138</v>
      </c>
      <c r="B25" s="130" t="s">
        <v>179</v>
      </c>
      <c r="C25" s="153">
        <f t="shared" si="1"/>
        <v>100</v>
      </c>
      <c r="D25" s="154"/>
      <c r="E25" s="154"/>
      <c r="F25" s="194"/>
      <c r="G25" s="212"/>
      <c r="H25" s="196">
        <v>100</v>
      </c>
      <c r="I25" s="197"/>
      <c r="J25" s="197"/>
      <c r="K25" s="213"/>
      <c r="L25" s="198" t="s">
        <v>168</v>
      </c>
    </row>
    <row r="26" spans="1:12">
      <c r="A26" s="141" t="s">
        <v>14</v>
      </c>
      <c r="B26" s="130" t="s">
        <v>182</v>
      </c>
      <c r="C26" s="153">
        <f t="shared" si="1"/>
        <v>3</v>
      </c>
      <c r="D26" s="154"/>
      <c r="E26" s="154"/>
      <c r="F26" s="194"/>
      <c r="G26" s="195"/>
      <c r="H26" s="196">
        <v>3</v>
      </c>
      <c r="I26" s="197">
        <v>3</v>
      </c>
      <c r="J26" s="197">
        <v>5</v>
      </c>
      <c r="K26" s="213" t="s">
        <v>155</v>
      </c>
      <c r="L26" s="198"/>
    </row>
    <row r="27" spans="1:12" s="238" customFormat="1">
      <c r="A27" s="229" t="s">
        <v>15</v>
      </c>
      <c r="B27" s="230"/>
      <c r="C27" s="153">
        <f t="shared" si="1"/>
        <v>0</v>
      </c>
      <c r="D27" s="231"/>
      <c r="E27" s="231"/>
      <c r="F27" s="232"/>
      <c r="G27" s="233"/>
      <c r="H27" s="234"/>
      <c r="I27" s="235"/>
      <c r="J27" s="235"/>
      <c r="K27" s="236"/>
      <c r="L27" s="237"/>
    </row>
    <row r="28" spans="1:12" s="9" customFormat="1" ht="30">
      <c r="A28" s="141" t="s">
        <v>16</v>
      </c>
      <c r="B28" s="130" t="s">
        <v>172</v>
      </c>
      <c r="C28" s="153">
        <f t="shared" si="1"/>
        <v>1.5</v>
      </c>
      <c r="D28" s="154"/>
      <c r="E28" s="154"/>
      <c r="F28" s="194"/>
      <c r="G28" s="195"/>
      <c r="H28" s="196">
        <v>1.5</v>
      </c>
      <c r="I28" s="197"/>
      <c r="J28" s="197"/>
      <c r="K28" s="213" t="s">
        <v>153</v>
      </c>
      <c r="L28" s="198" t="s">
        <v>200</v>
      </c>
    </row>
    <row r="29" spans="1:12">
      <c r="A29" s="141" t="s">
        <v>17</v>
      </c>
      <c r="B29" s="130" t="s">
        <v>176</v>
      </c>
      <c r="C29" s="153">
        <f t="shared" si="1"/>
        <v>90</v>
      </c>
      <c r="D29" s="154"/>
      <c r="E29" s="154"/>
      <c r="F29" s="194"/>
      <c r="G29" s="195"/>
      <c r="H29" s="196">
        <v>90</v>
      </c>
      <c r="I29" s="197"/>
      <c r="J29" s="197"/>
      <c r="K29" s="213" t="s">
        <v>155</v>
      </c>
      <c r="L29" s="198"/>
    </row>
    <row r="30" spans="1:12">
      <c r="A30" s="141" t="s">
        <v>18</v>
      </c>
      <c r="B30" s="217" t="s">
        <v>183</v>
      </c>
      <c r="C30" s="153">
        <f t="shared" si="1"/>
        <v>200</v>
      </c>
      <c r="D30" s="154"/>
      <c r="E30" s="154"/>
      <c r="F30" s="194"/>
      <c r="G30" s="195"/>
      <c r="H30" s="196">
        <v>200</v>
      </c>
      <c r="I30" s="197"/>
      <c r="J30" s="197"/>
      <c r="K30" s="213" t="s">
        <v>153</v>
      </c>
      <c r="L30" s="198" t="s">
        <v>212</v>
      </c>
    </row>
    <row r="31" spans="1:12">
      <c r="A31" s="141" t="s">
        <v>19</v>
      </c>
      <c r="B31" s="130" t="s">
        <v>176</v>
      </c>
      <c r="C31" s="153">
        <f t="shared" si="1"/>
        <v>104</v>
      </c>
      <c r="D31" s="154"/>
      <c r="E31" s="154"/>
      <c r="F31" s="194"/>
      <c r="G31" s="195"/>
      <c r="H31" s="196">
        <v>104</v>
      </c>
      <c r="I31" s="197"/>
      <c r="J31" s="197"/>
      <c r="K31" s="213" t="s">
        <v>155</v>
      </c>
      <c r="L31" s="198"/>
    </row>
    <row r="32" spans="1:12">
      <c r="A32" s="141" t="s">
        <v>139</v>
      </c>
      <c r="B32" s="217" t="s">
        <v>183</v>
      </c>
      <c r="C32" s="153">
        <f t="shared" si="1"/>
        <v>80</v>
      </c>
      <c r="D32" s="154"/>
      <c r="E32" s="154"/>
      <c r="F32" s="194"/>
      <c r="G32" s="195"/>
      <c r="H32" s="196">
        <v>80</v>
      </c>
      <c r="I32" s="197"/>
      <c r="J32" s="197"/>
      <c r="K32" s="213" t="s">
        <v>153</v>
      </c>
      <c r="L32" s="198" t="s">
        <v>212</v>
      </c>
    </row>
    <row r="33" spans="1:12">
      <c r="A33" s="141" t="s">
        <v>140</v>
      </c>
      <c r="B33" s="130" t="s">
        <v>176</v>
      </c>
      <c r="C33" s="153">
        <f t="shared" si="1"/>
        <v>128</v>
      </c>
      <c r="D33" s="154"/>
      <c r="E33" s="154"/>
      <c r="F33" s="194"/>
      <c r="G33" s="195"/>
      <c r="H33" s="196">
        <v>128</v>
      </c>
      <c r="I33" s="197"/>
      <c r="J33" s="197"/>
      <c r="K33" s="213" t="s">
        <v>155</v>
      </c>
      <c r="L33" s="198"/>
    </row>
    <row r="34" spans="1:12" s="238" customFormat="1" ht="30">
      <c r="A34" s="229" t="s">
        <v>20</v>
      </c>
      <c r="B34" s="230"/>
      <c r="C34" s="153">
        <f t="shared" si="1"/>
        <v>0</v>
      </c>
      <c r="D34" s="231"/>
      <c r="E34" s="231"/>
      <c r="F34" s="232"/>
      <c r="G34" s="233"/>
      <c r="H34" s="234"/>
      <c r="I34" s="235"/>
      <c r="J34" s="235"/>
      <c r="K34" s="236"/>
      <c r="L34" s="237"/>
    </row>
    <row r="35" spans="1:12">
      <c r="A35" s="141" t="s">
        <v>21</v>
      </c>
      <c r="B35" s="130" t="s">
        <v>175</v>
      </c>
      <c r="C35" s="153">
        <f t="shared" si="1"/>
        <v>0</v>
      </c>
      <c r="D35" s="154"/>
      <c r="E35" s="154"/>
      <c r="F35" s="194"/>
      <c r="G35" s="195"/>
      <c r="H35" s="196"/>
      <c r="I35" s="197"/>
      <c r="J35" s="197"/>
      <c r="K35" s="213"/>
      <c r="L35" s="198"/>
    </row>
    <row r="36" spans="1:12">
      <c r="A36" s="141" t="s">
        <v>22</v>
      </c>
      <c r="B36" s="130" t="s">
        <v>176</v>
      </c>
      <c r="C36" s="153">
        <f t="shared" si="1"/>
        <v>0</v>
      </c>
      <c r="D36" s="154"/>
      <c r="E36" s="154"/>
      <c r="F36" s="194"/>
      <c r="G36" s="195"/>
      <c r="H36" s="196"/>
      <c r="I36" s="197"/>
      <c r="J36" s="197"/>
      <c r="K36" s="213"/>
      <c r="L36" s="198"/>
    </row>
    <row r="37" spans="1:12" s="9" customFormat="1">
      <c r="A37" s="141" t="s">
        <v>23</v>
      </c>
      <c r="B37" s="130" t="s">
        <v>43</v>
      </c>
      <c r="C37" s="153">
        <f t="shared" si="1"/>
        <v>0</v>
      </c>
      <c r="D37" s="154"/>
      <c r="E37" s="154"/>
      <c r="F37" s="194"/>
      <c r="G37" s="195"/>
      <c r="H37" s="196"/>
      <c r="I37" s="197"/>
      <c r="J37" s="197"/>
      <c r="K37" s="213"/>
      <c r="L37" s="198"/>
    </row>
    <row r="38" spans="1:12">
      <c r="A38" s="141" t="s">
        <v>24</v>
      </c>
      <c r="B38" s="130" t="s">
        <v>43</v>
      </c>
      <c r="C38" s="153">
        <f t="shared" si="1"/>
        <v>0</v>
      </c>
      <c r="D38" s="154"/>
      <c r="E38" s="154"/>
      <c r="F38" s="194"/>
      <c r="G38" s="195"/>
      <c r="H38" s="196"/>
      <c r="I38" s="197"/>
      <c r="J38" s="197"/>
      <c r="K38" s="213"/>
      <c r="L38" s="198"/>
    </row>
    <row r="39" spans="1:12">
      <c r="A39" s="141" t="s">
        <v>25</v>
      </c>
      <c r="B39" s="130" t="s">
        <v>43</v>
      </c>
      <c r="C39" s="153">
        <f t="shared" si="1"/>
        <v>0</v>
      </c>
      <c r="D39" s="154"/>
      <c r="E39" s="154"/>
      <c r="F39" s="194"/>
      <c r="G39" s="195"/>
      <c r="H39" s="196"/>
      <c r="I39" s="197"/>
      <c r="J39" s="197"/>
      <c r="K39" s="213"/>
      <c r="L39" s="198"/>
    </row>
    <row r="40" spans="1:12">
      <c r="A40" s="141" t="s">
        <v>26</v>
      </c>
      <c r="B40" s="130" t="s">
        <v>43</v>
      </c>
      <c r="C40" s="153">
        <f t="shared" si="1"/>
        <v>0</v>
      </c>
      <c r="D40" s="154"/>
      <c r="E40" s="154"/>
      <c r="F40" s="194"/>
      <c r="G40" s="195"/>
      <c r="H40" s="196"/>
      <c r="I40" s="197"/>
      <c r="J40" s="197"/>
      <c r="K40" s="213"/>
      <c r="L40" s="198"/>
    </row>
    <row r="41" spans="1:12" s="238" customFormat="1">
      <c r="A41" s="229" t="s">
        <v>27</v>
      </c>
      <c r="B41" s="230"/>
      <c r="C41" s="153">
        <f t="shared" si="1"/>
        <v>0</v>
      </c>
      <c r="D41" s="231"/>
      <c r="E41" s="231"/>
      <c r="F41" s="232"/>
      <c r="G41" s="233"/>
      <c r="H41" s="234"/>
      <c r="I41" s="235"/>
      <c r="J41" s="235"/>
      <c r="K41" s="236"/>
      <c r="L41" s="237"/>
    </row>
    <row r="42" spans="1:12" ht="60">
      <c r="A42" s="141" t="s">
        <v>28</v>
      </c>
      <c r="B42" s="130" t="s">
        <v>180</v>
      </c>
      <c r="C42" s="153">
        <f t="shared" si="1"/>
        <v>16840</v>
      </c>
      <c r="D42" s="154"/>
      <c r="E42" s="154"/>
      <c r="F42" s="194"/>
      <c r="G42" s="195"/>
      <c r="H42" s="196">
        <v>16840</v>
      </c>
      <c r="I42" s="197"/>
      <c r="J42" s="197"/>
      <c r="K42" s="213" t="s">
        <v>205</v>
      </c>
      <c r="L42" s="198" t="s">
        <v>149</v>
      </c>
    </row>
    <row r="43" spans="1:12" ht="31" thickBot="1">
      <c r="A43" s="141" t="s">
        <v>29</v>
      </c>
      <c r="B43" s="130" t="s">
        <v>176</v>
      </c>
      <c r="C43" s="153">
        <f t="shared" si="1"/>
        <v>390</v>
      </c>
      <c r="D43" s="154"/>
      <c r="E43" s="154"/>
      <c r="F43" s="194"/>
      <c r="G43" s="195"/>
      <c r="H43" s="196">
        <v>390</v>
      </c>
      <c r="I43" s="197"/>
      <c r="J43" s="197"/>
      <c r="K43" s="213" t="s">
        <v>146</v>
      </c>
      <c r="L43" s="198"/>
    </row>
    <row r="44" spans="1:12" s="9" customFormat="1" ht="16" thickBot="1">
      <c r="A44" s="142" t="s">
        <v>30</v>
      </c>
      <c r="B44" s="143"/>
      <c r="C44" s="199"/>
      <c r="D44" s="200"/>
      <c r="E44" s="200"/>
      <c r="F44" s="201"/>
      <c r="G44" s="201"/>
      <c r="H44" s="202"/>
      <c r="I44" s="203"/>
      <c r="J44" s="203"/>
      <c r="K44" s="215"/>
      <c r="L44" s="204"/>
    </row>
    <row r="45" spans="1:12">
      <c r="A45" s="141" t="s">
        <v>196</v>
      </c>
      <c r="B45" s="130" t="s">
        <v>174</v>
      </c>
      <c r="C45" s="153">
        <f t="shared" ref="C45:C50" si="2">H45</f>
        <v>60</v>
      </c>
      <c r="D45" s="154"/>
      <c r="E45" s="154"/>
      <c r="F45" s="194"/>
      <c r="G45" s="195"/>
      <c r="H45" s="196">
        <v>60</v>
      </c>
      <c r="I45" s="197"/>
      <c r="J45" s="197"/>
      <c r="K45" s="213"/>
      <c r="L45" s="198"/>
    </row>
    <row r="46" spans="1:12" ht="45">
      <c r="A46" s="141" t="s">
        <v>197</v>
      </c>
      <c r="B46" s="130" t="s">
        <v>176</v>
      </c>
      <c r="C46" s="153">
        <f t="shared" si="2"/>
        <v>250</v>
      </c>
      <c r="D46" s="154"/>
      <c r="E46" s="154"/>
      <c r="F46" s="194"/>
      <c r="G46" s="195"/>
      <c r="H46" s="196">
        <v>250</v>
      </c>
      <c r="I46" s="197"/>
      <c r="J46" s="197"/>
      <c r="K46" s="213" t="s">
        <v>206</v>
      </c>
      <c r="L46" s="198"/>
    </row>
    <row r="47" spans="1:12">
      <c r="A47" s="141" t="s">
        <v>198</v>
      </c>
      <c r="B47" s="130" t="s">
        <v>174</v>
      </c>
      <c r="C47" s="153">
        <f t="shared" si="2"/>
        <v>0</v>
      </c>
      <c r="D47" s="154"/>
      <c r="E47" s="154"/>
      <c r="F47" s="194"/>
      <c r="G47" s="195"/>
      <c r="H47" s="196"/>
      <c r="I47" s="197"/>
      <c r="J47" s="197"/>
      <c r="K47" s="213"/>
      <c r="L47" s="198"/>
    </row>
    <row r="48" spans="1:12" ht="45">
      <c r="A48" s="141" t="s">
        <v>199</v>
      </c>
      <c r="B48" s="130" t="s">
        <v>171</v>
      </c>
      <c r="C48" s="153">
        <f t="shared" si="2"/>
        <v>0</v>
      </c>
      <c r="D48" s="154"/>
      <c r="E48" s="154"/>
      <c r="F48" s="194"/>
      <c r="G48" s="195"/>
      <c r="H48" s="196"/>
      <c r="I48" s="197"/>
      <c r="J48" s="197"/>
      <c r="K48" s="213"/>
      <c r="L48" s="198"/>
    </row>
    <row r="49" spans="1:12" ht="30">
      <c r="A49" s="141" t="s">
        <v>130</v>
      </c>
      <c r="B49" s="130" t="s">
        <v>170</v>
      </c>
      <c r="C49" s="153">
        <f t="shared" si="2"/>
        <v>0</v>
      </c>
      <c r="D49" s="154"/>
      <c r="E49" s="154"/>
      <c r="F49" s="194"/>
      <c r="G49" s="195"/>
      <c r="H49" s="196"/>
      <c r="I49" s="197"/>
      <c r="J49" s="197"/>
      <c r="K49" s="213"/>
      <c r="L49" s="198"/>
    </row>
    <row r="50" spans="1:12" ht="16" thickBot="1">
      <c r="A50" s="141" t="s">
        <v>192</v>
      </c>
      <c r="B50" s="219" t="s">
        <v>171</v>
      </c>
      <c r="C50" s="153">
        <f t="shared" si="2"/>
        <v>0</v>
      </c>
      <c r="D50" s="220"/>
      <c r="E50" s="220"/>
      <c r="F50" s="221"/>
      <c r="G50" s="222"/>
      <c r="H50" s="223"/>
      <c r="I50" s="224"/>
      <c r="J50" s="224"/>
      <c r="K50" s="225"/>
      <c r="L50" s="226"/>
    </row>
    <row r="51" spans="1:12" s="9" customFormat="1" ht="16" thickBot="1">
      <c r="A51" s="142" t="s">
        <v>181</v>
      </c>
      <c r="B51" s="143"/>
      <c r="C51" s="199"/>
      <c r="D51" s="200"/>
      <c r="E51" s="200"/>
      <c r="F51" s="201"/>
      <c r="G51" s="201"/>
      <c r="H51" s="202"/>
      <c r="I51" s="203"/>
      <c r="J51" s="203"/>
      <c r="K51" s="215"/>
      <c r="L51" s="204"/>
    </row>
    <row r="52" spans="1:12">
      <c r="A52" s="141" t="s">
        <v>31</v>
      </c>
      <c r="B52" s="130" t="s">
        <v>43</v>
      </c>
      <c r="C52" s="153" t="str">
        <f t="shared" ref="C52:C57" si="3">H52</f>
        <v>-</v>
      </c>
      <c r="D52" s="154"/>
      <c r="E52" s="154"/>
      <c r="F52" s="194"/>
      <c r="G52" s="195"/>
      <c r="H52" s="196" t="s">
        <v>43</v>
      </c>
      <c r="I52" s="197"/>
      <c r="J52" s="197"/>
      <c r="K52" s="213"/>
      <c r="L52" s="198"/>
    </row>
    <row r="53" spans="1:12">
      <c r="A53" s="141" t="s">
        <v>32</v>
      </c>
      <c r="B53" s="130" t="s">
        <v>43</v>
      </c>
      <c r="C53" s="153" t="str">
        <f t="shared" si="3"/>
        <v>-</v>
      </c>
      <c r="D53" s="154"/>
      <c r="E53" s="154"/>
      <c r="F53" s="194"/>
      <c r="G53" s="195"/>
      <c r="H53" s="196" t="s">
        <v>43</v>
      </c>
      <c r="I53" s="197"/>
      <c r="J53" s="197"/>
      <c r="K53" s="213"/>
      <c r="L53" s="198"/>
    </row>
    <row r="54" spans="1:12">
      <c r="A54" s="141" t="s">
        <v>33</v>
      </c>
      <c r="B54" s="130"/>
      <c r="C54" s="153">
        <f t="shared" si="3"/>
        <v>0</v>
      </c>
      <c r="D54" s="154"/>
      <c r="E54" s="154"/>
      <c r="F54" s="194"/>
      <c r="G54" s="195"/>
      <c r="H54" s="196"/>
      <c r="I54" s="197"/>
      <c r="J54" s="197"/>
      <c r="K54" s="213"/>
      <c r="L54" s="198"/>
    </row>
    <row r="55" spans="1:12" ht="30">
      <c r="A55" s="141" t="s">
        <v>141</v>
      </c>
      <c r="B55" s="130" t="s">
        <v>43</v>
      </c>
      <c r="C55" s="153" t="str">
        <f t="shared" si="3"/>
        <v>-</v>
      </c>
      <c r="D55" s="154"/>
      <c r="E55" s="154"/>
      <c r="F55" s="194"/>
      <c r="G55" s="195"/>
      <c r="H55" s="196" t="s">
        <v>43</v>
      </c>
      <c r="I55" s="197"/>
      <c r="J55" s="197"/>
      <c r="K55" s="213"/>
      <c r="L55" s="198"/>
    </row>
    <row r="56" spans="1:12">
      <c r="A56" s="141" t="s">
        <v>35</v>
      </c>
      <c r="B56" s="130" t="s">
        <v>43</v>
      </c>
      <c r="C56" s="153" t="str">
        <f t="shared" si="3"/>
        <v>-</v>
      </c>
      <c r="D56" s="154"/>
      <c r="E56" s="154"/>
      <c r="F56" s="194"/>
      <c r="G56" s="195"/>
      <c r="H56" s="196" t="s">
        <v>43</v>
      </c>
      <c r="I56" s="197"/>
      <c r="J56" s="197"/>
      <c r="K56" s="213"/>
      <c r="L56" s="198"/>
    </row>
    <row r="57" spans="1:12" s="9" customFormat="1" ht="16" thickBot="1">
      <c r="A57" s="141" t="s">
        <v>36</v>
      </c>
      <c r="B57" s="130" t="s">
        <v>191</v>
      </c>
      <c r="C57" s="153">
        <f t="shared" si="3"/>
        <v>636</v>
      </c>
      <c r="D57" s="154"/>
      <c r="E57" s="154"/>
      <c r="F57" s="194"/>
      <c r="G57" s="195"/>
      <c r="H57" s="196">
        <f>53*12</f>
        <v>636</v>
      </c>
      <c r="I57" s="197"/>
      <c r="J57" s="197"/>
      <c r="K57" s="213" t="s">
        <v>158</v>
      </c>
      <c r="L57" s="198"/>
    </row>
    <row r="58" spans="1:12" s="9" customFormat="1" ht="16" thickBot="1">
      <c r="A58" s="142" t="s">
        <v>37</v>
      </c>
      <c r="B58" s="143"/>
      <c r="C58" s="242"/>
      <c r="D58" s="200"/>
      <c r="E58" s="200"/>
      <c r="F58" s="155"/>
      <c r="G58" s="201"/>
      <c r="H58" s="202"/>
      <c r="I58" s="203"/>
      <c r="J58" s="203"/>
      <c r="K58" s="215"/>
      <c r="L58" s="204"/>
    </row>
    <row r="59" spans="1:12">
      <c r="A59" s="141" t="s">
        <v>38</v>
      </c>
      <c r="B59" s="130" t="s">
        <v>34</v>
      </c>
      <c r="C59" s="46">
        <f t="shared" ref="C59:C60" si="4">H59</f>
        <v>0</v>
      </c>
      <c r="D59" s="154"/>
      <c r="E59" s="154"/>
      <c r="F59" s="205"/>
      <c r="G59" s="195"/>
      <c r="H59" s="196"/>
      <c r="I59" s="197"/>
      <c r="J59" s="197"/>
      <c r="K59" s="213"/>
      <c r="L59" s="198"/>
    </row>
    <row r="60" spans="1:12" ht="30">
      <c r="A60" s="141" t="s">
        <v>39</v>
      </c>
      <c r="B60" s="130" t="s">
        <v>34</v>
      </c>
      <c r="C60" s="45">
        <f t="shared" si="4"/>
        <v>0</v>
      </c>
      <c r="D60" s="154"/>
      <c r="E60" s="154"/>
      <c r="F60" s="205"/>
      <c r="G60" s="195"/>
      <c r="H60" s="196"/>
      <c r="I60" s="197"/>
      <c r="J60" s="197"/>
      <c r="K60" s="213"/>
      <c r="L60" s="198"/>
    </row>
    <row r="61" spans="1:12">
      <c r="A61" s="145"/>
      <c r="B61" s="144"/>
    </row>
    <row r="62" spans="1:12">
      <c r="A62" s="145"/>
      <c r="B62" s="144"/>
    </row>
    <row r="63" spans="1:12">
      <c r="A63" s="145"/>
      <c r="B63" s="144"/>
    </row>
    <row r="64" spans="1:12">
      <c r="A64" s="145"/>
      <c r="B64" s="144"/>
    </row>
    <row r="65" spans="1:12">
      <c r="A65" s="145"/>
      <c r="B65" s="144"/>
    </row>
    <row r="66" spans="1:12">
      <c r="A66" s="145"/>
      <c r="B66" s="144"/>
    </row>
    <row r="67" spans="1:12">
      <c r="A67" s="145"/>
      <c r="B67" s="144"/>
    </row>
    <row r="68" spans="1:12">
      <c r="A68" s="145"/>
      <c r="B68" s="144"/>
    </row>
    <row r="69" spans="1:12">
      <c r="A69" s="145"/>
      <c r="B69" s="144"/>
    </row>
    <row r="70" spans="1:12">
      <c r="A70" s="145"/>
      <c r="B70" s="144"/>
    </row>
    <row r="71" spans="1:12">
      <c r="A71" s="145"/>
      <c r="B71" s="144"/>
    </row>
    <row r="72" spans="1:12">
      <c r="A72" s="145"/>
      <c r="B72" s="144"/>
      <c r="C72" s="4"/>
      <c r="D72" s="4"/>
      <c r="E72" s="4"/>
      <c r="F72" s="113"/>
      <c r="G72" s="4"/>
      <c r="H72" s="4"/>
      <c r="I72" s="4"/>
      <c r="J72" s="4"/>
      <c r="K72" s="113"/>
      <c r="L72" s="4"/>
    </row>
    <row r="73" spans="1:12">
      <c r="A73" s="145"/>
      <c r="B73" s="144"/>
      <c r="C73" s="4"/>
      <c r="D73" s="4"/>
      <c r="E73" s="4"/>
      <c r="F73" s="113"/>
      <c r="G73" s="4"/>
      <c r="H73" s="4"/>
      <c r="I73" s="4"/>
      <c r="J73" s="4"/>
      <c r="K73" s="113"/>
      <c r="L73" s="4"/>
    </row>
    <row r="74" spans="1:12">
      <c r="A74" s="145"/>
      <c r="B74" s="144"/>
      <c r="C74" s="4"/>
      <c r="D74" s="4"/>
      <c r="E74" s="4"/>
      <c r="F74" s="113"/>
      <c r="G74" s="4"/>
      <c r="H74" s="4"/>
      <c r="I74" s="4"/>
      <c r="J74" s="4"/>
      <c r="K74" s="113"/>
      <c r="L74" s="4"/>
    </row>
    <row r="75" spans="1:12">
      <c r="A75" s="145"/>
      <c r="B75" s="144"/>
      <c r="C75" s="4"/>
      <c r="D75" s="4"/>
      <c r="E75" s="4"/>
      <c r="F75" s="113"/>
      <c r="G75" s="4"/>
      <c r="H75" s="4"/>
      <c r="I75" s="4"/>
      <c r="J75" s="4"/>
      <c r="K75" s="113"/>
      <c r="L75" s="4"/>
    </row>
    <row r="76" spans="1:12">
      <c r="A76" s="145"/>
      <c r="B76" s="144"/>
      <c r="C76" s="4"/>
      <c r="D76" s="4"/>
      <c r="E76" s="4"/>
      <c r="F76" s="113"/>
      <c r="G76" s="4"/>
      <c r="H76" s="4"/>
      <c r="I76" s="4"/>
      <c r="J76" s="4"/>
      <c r="K76" s="113"/>
      <c r="L76" s="4"/>
    </row>
    <row r="77" spans="1:12">
      <c r="A77" s="145"/>
      <c r="B77" s="144"/>
      <c r="C77" s="4"/>
      <c r="D77" s="4"/>
      <c r="E77" s="4"/>
      <c r="F77" s="113"/>
      <c r="G77" s="4"/>
      <c r="H77" s="4"/>
      <c r="I77" s="4"/>
      <c r="J77" s="4"/>
      <c r="K77" s="113"/>
      <c r="L77" s="4"/>
    </row>
    <row r="78" spans="1:12">
      <c r="A78" s="145"/>
      <c r="B78" s="144"/>
      <c r="C78" s="4"/>
      <c r="D78" s="4"/>
      <c r="E78" s="4"/>
      <c r="F78" s="113"/>
      <c r="G78" s="4"/>
      <c r="H78" s="4"/>
      <c r="I78" s="4"/>
      <c r="J78" s="4"/>
      <c r="K78" s="113"/>
      <c r="L78" s="4"/>
    </row>
    <row r="79" spans="1:12">
      <c r="A79" s="145"/>
      <c r="B79" s="144"/>
      <c r="C79" s="4"/>
      <c r="D79" s="4"/>
      <c r="E79" s="4"/>
      <c r="F79" s="113"/>
      <c r="G79" s="4"/>
      <c r="H79" s="4"/>
      <c r="I79" s="4"/>
      <c r="J79" s="4"/>
      <c r="K79" s="113"/>
      <c r="L79" s="4"/>
    </row>
    <row r="80" spans="1:12">
      <c r="A80" s="145"/>
      <c r="B80" s="144"/>
      <c r="C80" s="4"/>
      <c r="D80" s="4"/>
      <c r="E80" s="4"/>
      <c r="F80" s="113"/>
      <c r="G80" s="4"/>
      <c r="H80" s="4"/>
      <c r="I80" s="4"/>
      <c r="J80" s="4"/>
      <c r="K80" s="113"/>
      <c r="L80" s="4"/>
    </row>
    <row r="81" spans="1:12">
      <c r="A81" s="145"/>
      <c r="B81" s="144"/>
      <c r="C81" s="4"/>
      <c r="D81" s="4"/>
      <c r="E81" s="4"/>
      <c r="F81" s="113"/>
      <c r="G81" s="4"/>
      <c r="H81" s="4"/>
      <c r="I81" s="4"/>
      <c r="J81" s="4"/>
      <c r="K81" s="113"/>
      <c r="L81" s="4"/>
    </row>
    <row r="82" spans="1:12">
      <c r="A82" s="145"/>
      <c r="B82" s="144"/>
      <c r="C82" s="4"/>
      <c r="D82" s="4"/>
      <c r="E82" s="4"/>
      <c r="F82" s="113"/>
      <c r="G82" s="4"/>
      <c r="H82" s="4"/>
      <c r="I82" s="4"/>
      <c r="J82" s="4"/>
      <c r="K82" s="113"/>
      <c r="L82" s="4"/>
    </row>
    <row r="83" spans="1:12">
      <c r="A83" s="145"/>
      <c r="B83" s="144"/>
      <c r="C83" s="4"/>
      <c r="D83" s="4"/>
      <c r="E83" s="4"/>
      <c r="F83" s="113"/>
      <c r="G83" s="4"/>
      <c r="H83" s="4"/>
      <c r="I83" s="4"/>
      <c r="J83" s="4"/>
      <c r="K83" s="113"/>
      <c r="L83" s="4"/>
    </row>
    <row r="84" spans="1:12">
      <c r="A84" s="145"/>
      <c r="B84" s="144"/>
      <c r="C84" s="4"/>
      <c r="D84" s="4"/>
      <c r="E84" s="4"/>
      <c r="F84" s="113"/>
      <c r="G84" s="4"/>
      <c r="H84" s="4"/>
      <c r="I84" s="4"/>
      <c r="J84" s="4"/>
      <c r="K84" s="113"/>
      <c r="L84" s="4"/>
    </row>
    <row r="85" spans="1:12">
      <c r="A85" s="145"/>
      <c r="B85" s="144"/>
      <c r="C85" s="4"/>
      <c r="D85" s="4"/>
      <c r="E85" s="4"/>
      <c r="F85" s="113"/>
      <c r="G85" s="4"/>
      <c r="H85" s="4"/>
      <c r="I85" s="4"/>
      <c r="J85" s="4"/>
      <c r="K85" s="113"/>
      <c r="L85" s="4"/>
    </row>
    <row r="86" spans="1:12">
      <c r="A86" s="145"/>
      <c r="B86" s="144"/>
      <c r="C86" s="4"/>
      <c r="D86" s="4"/>
      <c r="E86" s="4"/>
      <c r="F86" s="113"/>
      <c r="G86" s="4"/>
      <c r="H86" s="4"/>
      <c r="I86" s="4"/>
      <c r="J86" s="4"/>
      <c r="K86" s="113"/>
      <c r="L86" s="4"/>
    </row>
    <row r="87" spans="1:12">
      <c r="A87" s="145"/>
      <c r="B87" s="144"/>
      <c r="C87" s="4"/>
      <c r="D87" s="4"/>
      <c r="E87" s="4"/>
      <c r="F87" s="113"/>
      <c r="G87" s="4"/>
      <c r="H87" s="4"/>
      <c r="I87" s="4"/>
      <c r="J87" s="4"/>
      <c r="K87" s="113"/>
      <c r="L87" s="4"/>
    </row>
    <row r="88" spans="1:12">
      <c r="A88" s="145"/>
      <c r="B88" s="144"/>
      <c r="C88" s="4"/>
      <c r="D88" s="4"/>
      <c r="E88" s="4"/>
      <c r="F88" s="113"/>
      <c r="G88" s="4"/>
      <c r="H88" s="4"/>
      <c r="I88" s="4"/>
      <c r="J88" s="4"/>
      <c r="K88" s="113"/>
      <c r="L88" s="4"/>
    </row>
    <row r="89" spans="1:12">
      <c r="A89" s="145"/>
      <c r="B89" s="144"/>
      <c r="C89" s="4"/>
      <c r="D89" s="4"/>
      <c r="E89" s="4"/>
      <c r="F89" s="113"/>
      <c r="G89" s="4"/>
      <c r="H89" s="4"/>
      <c r="I89" s="4"/>
      <c r="J89" s="4"/>
      <c r="K89" s="113"/>
      <c r="L89" s="4"/>
    </row>
    <row r="90" spans="1:12">
      <c r="A90" s="145"/>
      <c r="B90" s="144"/>
      <c r="C90" s="4"/>
      <c r="D90" s="4"/>
      <c r="E90" s="4"/>
      <c r="F90" s="113"/>
      <c r="G90" s="4"/>
      <c r="H90" s="4"/>
      <c r="I90" s="4"/>
      <c r="J90" s="4"/>
      <c r="K90" s="113"/>
      <c r="L90" s="4"/>
    </row>
    <row r="91" spans="1:12">
      <c r="A91" s="145"/>
      <c r="B91" s="144"/>
      <c r="C91" s="4"/>
      <c r="D91" s="4"/>
      <c r="E91" s="4"/>
      <c r="F91" s="113"/>
      <c r="G91" s="4"/>
      <c r="H91" s="4"/>
      <c r="I91" s="4"/>
      <c r="J91" s="4"/>
      <c r="K91" s="113"/>
      <c r="L91" s="4"/>
    </row>
    <row r="92" spans="1:12">
      <c r="A92" s="145"/>
      <c r="B92" s="144"/>
      <c r="C92" s="4"/>
      <c r="D92" s="4"/>
      <c r="E92" s="4"/>
      <c r="F92" s="113"/>
      <c r="G92" s="4"/>
      <c r="H92" s="4"/>
      <c r="I92" s="4"/>
      <c r="J92" s="4"/>
      <c r="K92" s="113"/>
      <c r="L92" s="4"/>
    </row>
    <row r="93" spans="1:12">
      <c r="A93" s="145"/>
      <c r="B93" s="144"/>
      <c r="C93" s="4"/>
      <c r="D93" s="4"/>
      <c r="E93" s="4"/>
      <c r="F93" s="113"/>
      <c r="G93" s="4"/>
      <c r="H93" s="4"/>
      <c r="I93" s="4"/>
      <c r="J93" s="4"/>
      <c r="K93" s="113"/>
      <c r="L93" s="4"/>
    </row>
    <row r="94" spans="1:12">
      <c r="A94" s="145"/>
      <c r="B94" s="144"/>
      <c r="C94" s="4"/>
      <c r="D94" s="4"/>
      <c r="E94" s="4"/>
      <c r="F94" s="113"/>
      <c r="G94" s="4"/>
      <c r="H94" s="4"/>
      <c r="I94" s="4"/>
      <c r="J94" s="4"/>
      <c r="K94" s="113"/>
      <c r="L94" s="4"/>
    </row>
    <row r="95" spans="1:12">
      <c r="A95" s="145"/>
      <c r="B95" s="144"/>
      <c r="C95" s="4"/>
      <c r="D95" s="4"/>
      <c r="E95" s="4"/>
      <c r="F95" s="113"/>
      <c r="G95" s="4"/>
      <c r="H95" s="4"/>
      <c r="I95" s="4"/>
      <c r="J95" s="4"/>
      <c r="K95" s="113"/>
      <c r="L95" s="4"/>
    </row>
    <row r="96" spans="1:12">
      <c r="A96" s="145"/>
      <c r="B96" s="144"/>
      <c r="C96" s="4"/>
      <c r="D96" s="4"/>
      <c r="E96" s="4"/>
      <c r="F96" s="113"/>
      <c r="G96" s="4"/>
      <c r="H96" s="4"/>
      <c r="I96" s="4"/>
      <c r="J96" s="4"/>
      <c r="K96" s="113"/>
      <c r="L96" s="4"/>
    </row>
    <row r="97" spans="1:12">
      <c r="A97" s="145"/>
      <c r="B97" s="144"/>
      <c r="C97" s="4"/>
      <c r="D97" s="4"/>
      <c r="E97" s="4"/>
      <c r="F97" s="113"/>
      <c r="G97" s="4"/>
      <c r="H97" s="4"/>
      <c r="I97" s="4"/>
      <c r="J97" s="4"/>
      <c r="K97" s="113"/>
      <c r="L97" s="4"/>
    </row>
    <row r="98" spans="1:12">
      <c r="A98" s="145"/>
      <c r="B98" s="144"/>
      <c r="C98" s="4"/>
      <c r="D98" s="4"/>
      <c r="E98" s="4"/>
      <c r="F98" s="113"/>
      <c r="G98" s="4"/>
      <c r="H98" s="4"/>
      <c r="I98" s="4"/>
      <c r="J98" s="4"/>
      <c r="K98" s="113"/>
      <c r="L98" s="4"/>
    </row>
    <row r="99" spans="1:12">
      <c r="A99" s="145"/>
      <c r="B99" s="144"/>
      <c r="C99" s="4"/>
      <c r="D99" s="4"/>
      <c r="E99" s="4"/>
      <c r="F99" s="113"/>
      <c r="G99" s="4"/>
      <c r="H99" s="4"/>
      <c r="I99" s="4"/>
      <c r="J99" s="4"/>
      <c r="K99" s="113"/>
      <c r="L99" s="4"/>
    </row>
    <row r="100" spans="1:12">
      <c r="A100" s="145"/>
      <c r="B100" s="144"/>
      <c r="C100" s="4"/>
      <c r="D100" s="4"/>
      <c r="E100" s="4"/>
      <c r="F100" s="113"/>
      <c r="G100" s="4"/>
      <c r="H100" s="4"/>
      <c r="I100" s="4"/>
      <c r="J100" s="4"/>
      <c r="K100" s="113"/>
      <c r="L100" s="4"/>
    </row>
    <row r="101" spans="1:12">
      <c r="A101" s="145"/>
      <c r="B101" s="144"/>
      <c r="C101" s="4"/>
      <c r="D101" s="4"/>
      <c r="E101" s="4"/>
      <c r="F101" s="113"/>
      <c r="G101" s="4"/>
      <c r="H101" s="4"/>
      <c r="I101" s="4"/>
      <c r="J101" s="4"/>
      <c r="K101" s="113"/>
      <c r="L101" s="4"/>
    </row>
  </sheetData>
  <mergeCells count="2">
    <mergeCell ref="G5:G6"/>
    <mergeCell ref="L5:L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2" tint="-0.749992370372631"/>
  </sheetPr>
  <dimension ref="A1:L50"/>
  <sheetViews>
    <sheetView workbookViewId="0">
      <selection activeCell="C5" sqref="C5"/>
    </sheetView>
  </sheetViews>
  <sheetFormatPr baseColWidth="10" defaultRowHeight="15" x14ac:dyDescent="0"/>
  <cols>
    <col min="1" max="1" width="24" style="11" customWidth="1"/>
    <col min="2" max="2" width="17.1640625" style="20" customWidth="1"/>
    <col min="3" max="5" width="10.83203125" style="112" customWidth="1"/>
    <col min="6" max="6" width="17.83203125" style="112" customWidth="1"/>
    <col min="7" max="7" width="19.6640625" style="113" customWidth="1"/>
    <col min="8" max="10" width="10.83203125" style="4"/>
    <col min="11" max="11" width="17.83203125" style="112" customWidth="1"/>
    <col min="12" max="12" width="19.6640625" style="113" customWidth="1"/>
    <col min="13" max="16384" width="10.83203125" style="4"/>
  </cols>
  <sheetData>
    <row r="1" spans="1:12" s="1" customFormat="1">
      <c r="A1" s="2" t="s">
        <v>6</v>
      </c>
      <c r="B1" s="19"/>
      <c r="G1" s="111"/>
      <c r="L1" s="111"/>
    </row>
    <row r="2" spans="1:12">
      <c r="A2" s="3"/>
    </row>
    <row r="3" spans="1:12">
      <c r="C3" s="41" t="s">
        <v>202</v>
      </c>
      <c r="D3" s="28"/>
      <c r="E3" s="28"/>
      <c r="F3" s="38"/>
      <c r="G3" s="190"/>
      <c r="H3" s="29" t="s">
        <v>201</v>
      </c>
      <c r="I3" s="114"/>
      <c r="J3" s="114"/>
      <c r="K3" s="114"/>
      <c r="L3" s="115"/>
    </row>
    <row r="4" spans="1:12" s="9" customFormat="1" ht="91" thickBot="1">
      <c r="A4" s="139" t="s">
        <v>0</v>
      </c>
      <c r="B4" s="140" t="s">
        <v>1</v>
      </c>
      <c r="C4" s="5" t="s">
        <v>2</v>
      </c>
      <c r="D4" s="5" t="s">
        <v>3</v>
      </c>
      <c r="E4" s="5" t="s">
        <v>4</v>
      </c>
      <c r="F4" s="5" t="s">
        <v>92</v>
      </c>
      <c r="G4" s="6" t="s">
        <v>5</v>
      </c>
      <c r="H4" s="7" t="s">
        <v>2</v>
      </c>
      <c r="I4" s="7" t="s">
        <v>3</v>
      </c>
      <c r="J4" s="7" t="s">
        <v>4</v>
      </c>
      <c r="K4" s="7" t="s">
        <v>92</v>
      </c>
      <c r="L4" s="8" t="s">
        <v>5</v>
      </c>
    </row>
    <row r="5" spans="1:12" s="9" customFormat="1" ht="194" customHeight="1">
      <c r="A5" s="116" t="s">
        <v>160</v>
      </c>
      <c r="B5" s="14" t="s">
        <v>236</v>
      </c>
      <c r="C5" s="15"/>
      <c r="D5" s="15"/>
      <c r="E5" s="15"/>
      <c r="F5" s="15"/>
      <c r="G5" s="301" t="s">
        <v>233</v>
      </c>
      <c r="H5" s="117"/>
      <c r="I5" s="117"/>
      <c r="J5" s="117"/>
      <c r="K5" s="117"/>
      <c r="L5" s="227"/>
    </row>
    <row r="6" spans="1:12" s="9" customFormat="1" ht="31" thickBot="1">
      <c r="A6" s="118" t="s">
        <v>40</v>
      </c>
      <c r="B6" s="17" t="s">
        <v>214</v>
      </c>
      <c r="C6" s="18"/>
      <c r="D6" s="18"/>
      <c r="E6" s="18"/>
      <c r="F6" s="18"/>
      <c r="G6" s="302"/>
      <c r="H6" s="119"/>
      <c r="I6" s="119"/>
      <c r="J6" s="119"/>
      <c r="K6" s="119"/>
      <c r="L6" s="228"/>
    </row>
    <row r="7" spans="1:12" ht="30">
      <c r="A7" s="141" t="s">
        <v>119</v>
      </c>
      <c r="B7" s="243" t="s">
        <v>240</v>
      </c>
      <c r="C7" s="240">
        <f>(1500+3000)/97750</f>
        <v>4.6035805626598467E-2</v>
      </c>
      <c r="D7" s="32"/>
      <c r="E7" s="32"/>
      <c r="F7" s="32"/>
      <c r="G7" s="33"/>
      <c r="H7" s="245">
        <f>C7</f>
        <v>4.6035805626598467E-2</v>
      </c>
      <c r="I7" s="34"/>
      <c r="J7" s="34"/>
      <c r="K7" s="34"/>
      <c r="L7" s="35" t="s">
        <v>239</v>
      </c>
    </row>
    <row r="8" spans="1:12" ht="195">
      <c r="A8" s="141" t="s">
        <v>120</v>
      </c>
      <c r="B8" s="130" t="s">
        <v>169</v>
      </c>
      <c r="C8" s="153">
        <v>1.3</v>
      </c>
      <c r="D8" s="32"/>
      <c r="E8" s="32"/>
      <c r="F8" s="241" t="s">
        <v>237</v>
      </c>
      <c r="G8" s="33"/>
      <c r="H8" s="120">
        <f>C8</f>
        <v>1.3</v>
      </c>
      <c r="I8" s="34"/>
      <c r="J8" s="34"/>
      <c r="K8" s="34"/>
      <c r="L8" s="35" t="s">
        <v>238</v>
      </c>
    </row>
    <row r="9" spans="1:12" ht="90">
      <c r="A9" s="141" t="s">
        <v>243</v>
      </c>
      <c r="B9" s="130" t="s">
        <v>215</v>
      </c>
      <c r="C9" s="244">
        <f>31.8*10^6/(24000)</f>
        <v>1325</v>
      </c>
      <c r="D9" s="32"/>
      <c r="E9" s="32"/>
      <c r="F9" s="32"/>
      <c r="G9" s="33" t="s">
        <v>241</v>
      </c>
      <c r="H9" s="246">
        <f>C9*1.1</f>
        <v>1457.5000000000002</v>
      </c>
      <c r="I9" s="34"/>
      <c r="J9" s="34"/>
      <c r="K9" s="34"/>
      <c r="L9" s="35" t="s">
        <v>242</v>
      </c>
    </row>
    <row r="10" spans="1:12" ht="90">
      <c r="A10" s="141" t="s">
        <v>254</v>
      </c>
      <c r="B10" s="130" t="s">
        <v>255</v>
      </c>
      <c r="C10" s="244">
        <v>1</v>
      </c>
      <c r="D10" s="32"/>
      <c r="E10" s="32"/>
      <c r="F10" s="32"/>
      <c r="G10" s="33" t="s">
        <v>259</v>
      </c>
      <c r="H10" s="246">
        <f>C10</f>
        <v>1</v>
      </c>
      <c r="I10" s="34"/>
      <c r="J10" s="34"/>
      <c r="K10" s="34"/>
      <c r="L10" s="35"/>
    </row>
    <row r="11" spans="1:12" ht="90">
      <c r="A11" s="141" t="s">
        <v>256</v>
      </c>
      <c r="B11" s="130" t="s">
        <v>216</v>
      </c>
      <c r="C11" s="244">
        <f>18000*1000/(24000+422500+35000)</f>
        <v>37.383177570093459</v>
      </c>
      <c r="D11" s="32"/>
      <c r="E11" s="32"/>
      <c r="F11" s="32"/>
      <c r="G11" s="33" t="s">
        <v>241</v>
      </c>
      <c r="H11" s="246">
        <f>C11*1.1</f>
        <v>41.121495327102807</v>
      </c>
      <c r="I11" s="34"/>
      <c r="J11" s="34"/>
      <c r="K11" s="34"/>
      <c r="L11" s="35" t="s">
        <v>242</v>
      </c>
    </row>
    <row r="12" spans="1:12" ht="120">
      <c r="A12" s="141" t="s">
        <v>257</v>
      </c>
      <c r="B12" s="130" t="s">
        <v>258</v>
      </c>
      <c r="C12" s="244">
        <v>15</v>
      </c>
      <c r="D12" s="32"/>
      <c r="E12" s="32"/>
      <c r="F12" s="32"/>
      <c r="G12" s="33" t="s">
        <v>260</v>
      </c>
      <c r="H12" s="246">
        <f>C12</f>
        <v>15</v>
      </c>
      <c r="I12" s="34"/>
      <c r="J12" s="34"/>
      <c r="K12" s="34"/>
      <c r="L12" s="35"/>
    </row>
    <row r="13" spans="1:12">
      <c r="A13" s="145"/>
      <c r="B13" s="144"/>
    </row>
    <row r="14" spans="1:12">
      <c r="A14" s="145"/>
      <c r="B14" s="144"/>
    </row>
    <row r="15" spans="1:12">
      <c r="A15" s="145"/>
      <c r="B15" s="144"/>
    </row>
    <row r="16" spans="1:12">
      <c r="A16" s="145"/>
      <c r="B16" s="144"/>
    </row>
    <row r="17" spans="1:12">
      <c r="A17" s="145"/>
      <c r="B17" s="144"/>
    </row>
    <row r="18" spans="1:12">
      <c r="A18" s="145"/>
      <c r="B18" s="144"/>
    </row>
    <row r="19" spans="1:12">
      <c r="A19" s="145"/>
      <c r="B19" s="144"/>
    </row>
    <row r="20" spans="1:12">
      <c r="A20" s="145"/>
      <c r="B20" s="144"/>
    </row>
    <row r="21" spans="1:12">
      <c r="A21" s="145"/>
      <c r="B21" s="144"/>
      <c r="C21" s="4"/>
      <c r="D21" s="4"/>
      <c r="E21" s="4"/>
      <c r="F21" s="4"/>
      <c r="G21" s="4"/>
      <c r="K21" s="4"/>
      <c r="L21" s="4"/>
    </row>
    <row r="22" spans="1:12">
      <c r="A22" s="145"/>
      <c r="B22" s="144"/>
      <c r="C22" s="4"/>
      <c r="D22" s="4"/>
      <c r="E22" s="4"/>
      <c r="F22" s="4"/>
      <c r="G22" s="4"/>
      <c r="K22" s="4"/>
      <c r="L22" s="4"/>
    </row>
    <row r="23" spans="1:12">
      <c r="A23" s="145"/>
      <c r="B23" s="144"/>
      <c r="C23" s="4"/>
      <c r="D23" s="4"/>
      <c r="E23" s="4"/>
      <c r="F23" s="4"/>
      <c r="G23" s="4"/>
      <c r="K23" s="4"/>
      <c r="L23" s="4"/>
    </row>
    <row r="24" spans="1:12">
      <c r="A24" s="145"/>
      <c r="B24" s="144"/>
      <c r="C24" s="4"/>
      <c r="D24" s="4"/>
      <c r="E24" s="4"/>
      <c r="F24" s="4"/>
      <c r="G24" s="4"/>
      <c r="K24" s="4"/>
      <c r="L24" s="4"/>
    </row>
    <row r="25" spans="1:12">
      <c r="A25" s="145"/>
      <c r="B25" s="144"/>
      <c r="C25" s="4"/>
      <c r="D25" s="4"/>
      <c r="E25" s="4"/>
      <c r="F25" s="4"/>
      <c r="G25" s="4"/>
      <c r="K25" s="4"/>
      <c r="L25" s="4"/>
    </row>
    <row r="26" spans="1:12">
      <c r="A26" s="145"/>
      <c r="B26" s="144"/>
      <c r="C26" s="4"/>
      <c r="D26" s="4"/>
      <c r="E26" s="4"/>
      <c r="F26" s="4"/>
      <c r="G26" s="4"/>
      <c r="K26" s="4"/>
      <c r="L26" s="4"/>
    </row>
    <row r="27" spans="1:12">
      <c r="A27" s="145"/>
      <c r="B27" s="144"/>
      <c r="C27" s="4"/>
      <c r="D27" s="4"/>
      <c r="E27" s="4"/>
      <c r="F27" s="4"/>
      <c r="G27" s="4"/>
      <c r="K27" s="4"/>
      <c r="L27" s="4"/>
    </row>
    <row r="28" spans="1:12">
      <c r="A28" s="145"/>
      <c r="B28" s="144"/>
      <c r="C28" s="4"/>
      <c r="D28" s="4"/>
      <c r="E28" s="4"/>
      <c r="F28" s="4"/>
      <c r="G28" s="4"/>
      <c r="K28" s="4"/>
      <c r="L28" s="4"/>
    </row>
    <row r="29" spans="1:12">
      <c r="A29" s="145"/>
      <c r="B29" s="144"/>
      <c r="C29" s="4"/>
      <c r="D29" s="4"/>
      <c r="E29" s="4"/>
      <c r="F29" s="4"/>
      <c r="G29" s="4"/>
      <c r="K29" s="4"/>
      <c r="L29" s="4"/>
    </row>
    <row r="30" spans="1:12">
      <c r="A30" s="145"/>
      <c r="B30" s="144"/>
      <c r="C30" s="4"/>
      <c r="D30" s="4"/>
      <c r="E30" s="4"/>
      <c r="F30" s="4"/>
      <c r="G30" s="4"/>
      <c r="K30" s="4"/>
      <c r="L30" s="4"/>
    </row>
    <row r="31" spans="1:12">
      <c r="A31" s="145"/>
      <c r="B31" s="144"/>
      <c r="C31" s="4"/>
      <c r="D31" s="4"/>
      <c r="E31" s="4"/>
      <c r="F31" s="4"/>
      <c r="G31" s="4"/>
      <c r="K31" s="4"/>
      <c r="L31" s="4"/>
    </row>
    <row r="32" spans="1:12">
      <c r="A32" s="145"/>
      <c r="B32" s="144"/>
      <c r="C32" s="4"/>
      <c r="D32" s="4"/>
      <c r="E32" s="4"/>
      <c r="F32" s="4"/>
      <c r="G32" s="4"/>
      <c r="K32" s="4"/>
      <c r="L32" s="4"/>
    </row>
    <row r="33" spans="1:12">
      <c r="A33" s="145"/>
      <c r="B33" s="144"/>
      <c r="C33" s="4"/>
      <c r="D33" s="4"/>
      <c r="E33" s="4"/>
      <c r="F33" s="4"/>
      <c r="G33" s="4"/>
      <c r="K33" s="4"/>
      <c r="L33" s="4"/>
    </row>
    <row r="34" spans="1:12">
      <c r="A34" s="145"/>
      <c r="B34" s="144"/>
      <c r="C34" s="4"/>
      <c r="D34" s="4"/>
      <c r="E34" s="4"/>
      <c r="F34" s="4"/>
      <c r="G34" s="4"/>
      <c r="K34" s="4"/>
      <c r="L34" s="4"/>
    </row>
    <row r="35" spans="1:12">
      <c r="A35" s="145"/>
      <c r="B35" s="144"/>
      <c r="C35" s="4"/>
      <c r="D35" s="4"/>
      <c r="E35" s="4"/>
      <c r="F35" s="4"/>
      <c r="G35" s="4"/>
      <c r="K35" s="4"/>
      <c r="L35" s="4"/>
    </row>
    <row r="36" spans="1:12">
      <c r="A36" s="145"/>
      <c r="B36" s="144"/>
      <c r="C36" s="4"/>
      <c r="D36" s="4"/>
      <c r="E36" s="4"/>
      <c r="F36" s="4"/>
      <c r="G36" s="4"/>
      <c r="K36" s="4"/>
      <c r="L36" s="4"/>
    </row>
    <row r="37" spans="1:12">
      <c r="A37" s="145"/>
      <c r="B37" s="144"/>
      <c r="C37" s="4"/>
      <c r="D37" s="4"/>
      <c r="E37" s="4"/>
      <c r="F37" s="4"/>
      <c r="G37" s="4"/>
      <c r="K37" s="4"/>
      <c r="L37" s="4"/>
    </row>
    <row r="38" spans="1:12">
      <c r="A38" s="145"/>
      <c r="B38" s="144"/>
      <c r="C38" s="4"/>
      <c r="D38" s="4"/>
      <c r="E38" s="4"/>
      <c r="F38" s="4"/>
      <c r="G38" s="4"/>
      <c r="K38" s="4"/>
      <c r="L38" s="4"/>
    </row>
    <row r="39" spans="1:12">
      <c r="A39" s="145"/>
      <c r="B39" s="144"/>
      <c r="C39" s="4"/>
      <c r="D39" s="4"/>
      <c r="E39" s="4"/>
      <c r="F39" s="4"/>
      <c r="G39" s="4"/>
      <c r="K39" s="4"/>
      <c r="L39" s="4"/>
    </row>
    <row r="40" spans="1:12">
      <c r="A40" s="145"/>
      <c r="B40" s="144"/>
      <c r="C40" s="4"/>
      <c r="D40" s="4"/>
      <c r="E40" s="4"/>
      <c r="F40" s="4"/>
      <c r="G40" s="4"/>
      <c r="K40" s="4"/>
      <c r="L40" s="4"/>
    </row>
    <row r="41" spans="1:12">
      <c r="A41" s="145"/>
      <c r="B41" s="144"/>
      <c r="C41" s="4"/>
      <c r="D41" s="4"/>
      <c r="E41" s="4"/>
      <c r="F41" s="4"/>
      <c r="G41" s="4"/>
      <c r="K41" s="4"/>
      <c r="L41" s="4"/>
    </row>
    <row r="42" spans="1:12">
      <c r="A42" s="145"/>
      <c r="B42" s="144"/>
      <c r="C42" s="4"/>
      <c r="D42" s="4"/>
      <c r="E42" s="4"/>
      <c r="F42" s="4"/>
      <c r="G42" s="4"/>
      <c r="K42" s="4"/>
      <c r="L42" s="4"/>
    </row>
    <row r="43" spans="1:12">
      <c r="A43" s="145"/>
      <c r="B43" s="144"/>
      <c r="C43" s="4"/>
      <c r="D43" s="4"/>
      <c r="E43" s="4"/>
      <c r="F43" s="4"/>
      <c r="G43" s="4"/>
      <c r="K43" s="4"/>
      <c r="L43" s="4"/>
    </row>
    <row r="44" spans="1:12">
      <c r="A44" s="145"/>
      <c r="B44" s="144"/>
      <c r="C44" s="4"/>
      <c r="D44" s="4"/>
      <c r="E44" s="4"/>
      <c r="F44" s="4"/>
      <c r="G44" s="4"/>
      <c r="K44" s="4"/>
      <c r="L44" s="4"/>
    </row>
    <row r="45" spans="1:12">
      <c r="A45" s="145"/>
      <c r="B45" s="144"/>
      <c r="C45" s="4"/>
      <c r="D45" s="4"/>
      <c r="E45" s="4"/>
      <c r="F45" s="4"/>
      <c r="G45" s="4"/>
      <c r="K45" s="4"/>
      <c r="L45" s="4"/>
    </row>
    <row r="46" spans="1:12">
      <c r="A46" s="145"/>
      <c r="B46" s="144"/>
      <c r="C46" s="4"/>
      <c r="D46" s="4"/>
      <c r="E46" s="4"/>
      <c r="F46" s="4"/>
      <c r="G46" s="4"/>
      <c r="K46" s="4"/>
      <c r="L46" s="4"/>
    </row>
    <row r="47" spans="1:12">
      <c r="A47" s="145"/>
      <c r="B47" s="144"/>
      <c r="C47" s="4"/>
      <c r="D47" s="4"/>
      <c r="E47" s="4"/>
      <c r="F47" s="4"/>
      <c r="G47" s="4"/>
      <c r="K47" s="4"/>
      <c r="L47" s="4"/>
    </row>
    <row r="48" spans="1:12">
      <c r="A48" s="145"/>
      <c r="B48" s="144"/>
      <c r="C48" s="4"/>
      <c r="D48" s="4"/>
      <c r="E48" s="4"/>
      <c r="F48" s="4"/>
      <c r="G48" s="4"/>
      <c r="K48" s="4"/>
      <c r="L48" s="4"/>
    </row>
    <row r="49" spans="1:12">
      <c r="A49" s="145"/>
      <c r="B49" s="144"/>
      <c r="C49" s="4"/>
      <c r="D49" s="4"/>
      <c r="E49" s="4"/>
      <c r="F49" s="4"/>
      <c r="G49" s="4"/>
      <c r="K49" s="4"/>
      <c r="L49" s="4"/>
    </row>
    <row r="50" spans="1:12">
      <c r="A50" s="145"/>
      <c r="B50" s="144"/>
      <c r="C50" s="4"/>
      <c r="D50" s="4"/>
      <c r="E50" s="4"/>
      <c r="F50" s="4"/>
      <c r="G50" s="4"/>
      <c r="K50" s="4"/>
      <c r="L50" s="4"/>
    </row>
  </sheetData>
  <mergeCells count="1">
    <mergeCell ref="G5:G6"/>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6" tint="0.59999389629810485"/>
  </sheetPr>
  <dimension ref="A1:L41"/>
  <sheetViews>
    <sheetView workbookViewId="0">
      <selection activeCell="A2" sqref="A2"/>
    </sheetView>
  </sheetViews>
  <sheetFormatPr baseColWidth="10" defaultColWidth="11.5" defaultRowHeight="12" x14ac:dyDescent="0"/>
  <cols>
    <col min="1" max="1" width="22.1640625" style="49" customWidth="1"/>
    <col min="2" max="10" width="12.1640625" style="49" customWidth="1"/>
    <col min="11" max="16384" width="11.5" style="49"/>
  </cols>
  <sheetData>
    <row r="1" spans="1:12" ht="45" customHeight="1">
      <c r="A1" s="14" t="str">
        <f>'Répartition des cultures'!B3</f>
        <v>CES 1 :_x000D_Défrichement Jujubier</v>
      </c>
      <c r="B1" s="156" t="s">
        <v>217</v>
      </c>
      <c r="C1" s="48"/>
      <c r="D1" s="47"/>
      <c r="E1" s="48"/>
      <c r="F1" s="48"/>
      <c r="G1" s="47"/>
      <c r="H1" s="156" t="s">
        <v>218</v>
      </c>
      <c r="I1" s="48"/>
      <c r="J1" s="47"/>
    </row>
    <row r="2" spans="1:12">
      <c r="A2" s="47"/>
      <c r="B2" s="51"/>
      <c r="C2" s="52" t="s">
        <v>150</v>
      </c>
      <c r="D2" s="53"/>
      <c r="E2" s="51"/>
      <c r="F2" s="52" t="s">
        <v>115</v>
      </c>
      <c r="G2" s="53"/>
      <c r="H2" s="54"/>
      <c r="I2" s="256" t="s">
        <v>219</v>
      </c>
      <c r="J2" s="55"/>
    </row>
    <row r="3" spans="1:12" s="61" customFormat="1" ht="36">
      <c r="A3" s="57"/>
      <c r="B3" s="58" t="s">
        <v>47</v>
      </c>
      <c r="C3" s="58" t="s">
        <v>227</v>
      </c>
      <c r="D3" s="59" t="s">
        <v>226</v>
      </c>
      <c r="E3" s="58" t="s">
        <v>47</v>
      </c>
      <c r="F3" s="58" t="s">
        <v>227</v>
      </c>
      <c r="G3" s="59" t="s">
        <v>226</v>
      </c>
      <c r="H3" s="60" t="s">
        <v>47</v>
      </c>
      <c r="I3" s="60" t="s">
        <v>227</v>
      </c>
      <c r="J3" s="257" t="s">
        <v>226</v>
      </c>
    </row>
    <row r="4" spans="1:12" s="48" customFormat="1">
      <c r="A4" s="47" t="s">
        <v>220</v>
      </c>
      <c r="B4" s="159">
        <f>'Répartition des cultures'!B11*'Répartition des cultures'!B6</f>
        <v>1.7153996101364521</v>
      </c>
      <c r="C4" s="121">
        <f>B4</f>
        <v>1.7153996101364521</v>
      </c>
      <c r="D4" s="158">
        <f>'Répartition des cultures'!C11*'Répartition des cultures'!C6</f>
        <v>3.8596491228070171</v>
      </c>
      <c r="E4" s="159">
        <f>'Répartition des cultures'!B12*'Répartition des cultures'!B6</f>
        <v>0.65026697177726933</v>
      </c>
      <c r="F4" s="121">
        <f>E4</f>
        <v>0.65026697177726933</v>
      </c>
      <c r="G4" s="158">
        <f>'Répartition des cultures'!C12*'Répartition des cultures'!C6</f>
        <v>0.96491228070175428</v>
      </c>
      <c r="H4" s="159">
        <f>'Parcours (lait et viande)'!C8</f>
        <v>1.3</v>
      </c>
      <c r="I4" s="249">
        <f>H4*(1+(2.4-1.3)/1.3)</f>
        <v>2.4</v>
      </c>
      <c r="J4" s="158">
        <f>'Parcours (lait et viande)'!C8</f>
        <v>1.3</v>
      </c>
      <c r="K4" s="61"/>
      <c r="L4" s="61"/>
    </row>
    <row r="5" spans="1:12" s="48" customFormat="1">
      <c r="A5" s="47" t="s">
        <v>248</v>
      </c>
      <c r="B5" s="180">
        <f>CES1_Abricot!C9</f>
        <v>1.9714285714285713</v>
      </c>
      <c r="C5" s="182">
        <f>B5</f>
        <v>1.9714285714285713</v>
      </c>
      <c r="D5" s="181">
        <f>CES1_Abricot!H9</f>
        <v>3</v>
      </c>
      <c r="E5" s="180">
        <f>CES1_Olivier!C9</f>
        <v>0.95502645502645511</v>
      </c>
      <c r="F5" s="182">
        <f>E5</f>
        <v>0.95502645502645511</v>
      </c>
      <c r="G5" s="181">
        <f>CES1_Olivier!H9</f>
        <v>1.5</v>
      </c>
      <c r="H5" s="166"/>
      <c r="I5" s="166"/>
      <c r="J5" s="167"/>
      <c r="K5" s="61"/>
      <c r="L5" s="61"/>
    </row>
    <row r="6" spans="1:12" s="48" customFormat="1">
      <c r="A6" s="47" t="s">
        <v>249</v>
      </c>
      <c r="B6" s="121">
        <f>B4*B5</f>
        <v>3.3817878028404342</v>
      </c>
      <c r="C6" s="121">
        <f t="shared" ref="C6:G6" si="0">C4*C5</f>
        <v>3.3817878028404342</v>
      </c>
      <c r="D6" s="122">
        <f t="shared" si="0"/>
        <v>11.578947368421051</v>
      </c>
      <c r="E6" s="121">
        <f t="shared" si="0"/>
        <v>0.6210221608772335</v>
      </c>
      <c r="F6" s="121">
        <f t="shared" si="0"/>
        <v>0.6210221608772335</v>
      </c>
      <c r="G6" s="122">
        <f t="shared" si="0"/>
        <v>1.4473684210526314</v>
      </c>
      <c r="H6" s="166"/>
      <c r="I6" s="166"/>
      <c r="J6" s="167"/>
    </row>
    <row r="7" spans="1:12">
      <c r="A7" s="47" t="s">
        <v>250</v>
      </c>
      <c r="B7" s="163">
        <f>CES1_Abricot!C10</f>
        <v>39428.571428571428</v>
      </c>
      <c r="C7" s="164">
        <f>B7</f>
        <v>39428.571428571428</v>
      </c>
      <c r="D7" s="165">
        <f>CES1_Abricot!H10</f>
        <v>60000</v>
      </c>
      <c r="E7" s="163">
        <f>CES1_Olivier!C10</f>
        <v>681.25220458553804</v>
      </c>
      <c r="F7" s="164">
        <f>E7</f>
        <v>681.25220458553804</v>
      </c>
      <c r="G7" s="165">
        <f>CES1_Olivier!H10</f>
        <v>1070</v>
      </c>
      <c r="H7" s="166"/>
      <c r="I7" s="166"/>
      <c r="J7" s="167"/>
    </row>
    <row r="8" spans="1:12">
      <c r="A8" s="47" t="s">
        <v>253</v>
      </c>
      <c r="B8" s="166"/>
      <c r="C8" s="166"/>
      <c r="D8" s="167"/>
      <c r="E8" s="166"/>
      <c r="F8" s="166"/>
      <c r="G8" s="167"/>
      <c r="H8" s="163">
        <f>'Parcours (lait et viande)'!C7</f>
        <v>4.6035805626598467E-2</v>
      </c>
      <c r="I8" s="164">
        <f>H8</f>
        <v>4.6035805626598467E-2</v>
      </c>
      <c r="J8" s="165">
        <f>'Parcours (lait et viande)'!H7</f>
        <v>4.6035805626598467E-2</v>
      </c>
    </row>
    <row r="9" spans="1:12" ht="24">
      <c r="A9" s="157" t="s">
        <v>261</v>
      </c>
      <c r="B9" s="166"/>
      <c r="C9" s="166"/>
      <c r="D9" s="167"/>
      <c r="E9" s="166"/>
      <c r="F9" s="166"/>
      <c r="G9" s="167"/>
      <c r="H9" s="255">
        <f>'Parcours (lait et viande)'!C9</f>
        <v>1325</v>
      </c>
      <c r="I9" s="164">
        <f t="shared" ref="I9:I12" si="1">H9</f>
        <v>1325</v>
      </c>
      <c r="J9" s="255">
        <f>'Parcours (lait et viande)'!H9</f>
        <v>1457.5000000000002</v>
      </c>
    </row>
    <row r="10" spans="1:12">
      <c r="A10" s="157" t="s">
        <v>263</v>
      </c>
      <c r="B10" s="166"/>
      <c r="C10" s="166"/>
      <c r="D10" s="167"/>
      <c r="E10" s="166"/>
      <c r="F10" s="166"/>
      <c r="G10" s="167"/>
      <c r="H10" s="163">
        <f>'Parcours (lait et viande)'!C10</f>
        <v>1</v>
      </c>
      <c r="I10" s="164">
        <f t="shared" si="1"/>
        <v>1</v>
      </c>
      <c r="J10" s="163">
        <f>'Parcours (lait et viande)'!H10</f>
        <v>1</v>
      </c>
    </row>
    <row r="11" spans="1:12" ht="24">
      <c r="A11" s="157" t="s">
        <v>262</v>
      </c>
      <c r="B11" s="166"/>
      <c r="C11" s="166"/>
      <c r="D11" s="167"/>
      <c r="E11" s="166"/>
      <c r="F11" s="166"/>
      <c r="G11" s="167"/>
      <c r="H11" s="255">
        <f>'Parcours (lait et viande)'!C11</f>
        <v>37.383177570093459</v>
      </c>
      <c r="I11" s="164">
        <f t="shared" si="1"/>
        <v>37.383177570093459</v>
      </c>
      <c r="J11" s="255">
        <f>'Parcours (lait et viande)'!H11</f>
        <v>41.121495327102807</v>
      </c>
    </row>
    <row r="12" spans="1:12" ht="24">
      <c r="A12" s="157" t="s">
        <v>264</v>
      </c>
      <c r="B12" s="166"/>
      <c r="C12" s="166"/>
      <c r="D12" s="167"/>
      <c r="E12" s="166"/>
      <c r="F12" s="166"/>
      <c r="G12" s="167"/>
      <c r="H12" s="163">
        <f>'Parcours (lait et viande)'!C12</f>
        <v>15</v>
      </c>
      <c r="I12" s="164">
        <f t="shared" si="1"/>
        <v>15</v>
      </c>
      <c r="J12" s="163">
        <f>'Parcours (lait et viande)'!H12</f>
        <v>15</v>
      </c>
    </row>
    <row r="13" spans="1:12" ht="24">
      <c r="A13" s="157" t="s">
        <v>221</v>
      </c>
      <c r="B13" s="163">
        <f>CES1_Abricot!C11</f>
        <v>5760</v>
      </c>
      <c r="C13" s="164">
        <f>B13</f>
        <v>5760</v>
      </c>
      <c r="D13" s="165">
        <f>CES1_Abricot!H11</f>
        <v>4800</v>
      </c>
      <c r="E13" s="166"/>
      <c r="F13" s="166"/>
      <c r="G13" s="167"/>
      <c r="H13" s="166"/>
      <c r="I13" s="166"/>
      <c r="J13" s="167"/>
    </row>
    <row r="14" spans="1:12">
      <c r="A14" s="63" t="s">
        <v>222</v>
      </c>
      <c r="B14" s="168">
        <f t="shared" ref="B14:G14" si="2">B7*B4+B13</f>
        <v>73395.756056808677</v>
      </c>
      <c r="C14" s="168">
        <f t="shared" si="2"/>
        <v>73395.756056808677</v>
      </c>
      <c r="D14" s="169">
        <f t="shared" si="2"/>
        <v>236378.94736842104</v>
      </c>
      <c r="E14" s="168">
        <f t="shared" si="2"/>
        <v>442.99580809242656</v>
      </c>
      <c r="F14" s="168">
        <f t="shared" si="2"/>
        <v>442.99580809242656</v>
      </c>
      <c r="G14" s="169">
        <f t="shared" si="2"/>
        <v>1032.4561403508771</v>
      </c>
      <c r="H14" s="168">
        <f>(H12*H11+H10*H9)*H8*H4</f>
        <v>112.85548677008389</v>
      </c>
      <c r="I14" s="168">
        <f t="shared" ref="I14:J14" si="3">(I12*I11+I10*I9)*I8*I4</f>
        <v>208.34859096015487</v>
      </c>
      <c r="J14" s="169">
        <f t="shared" si="3"/>
        <v>124.14103544709232</v>
      </c>
    </row>
    <row r="15" spans="1:12" s="64" customFormat="1">
      <c r="A15" s="62"/>
      <c r="B15" s="121"/>
      <c r="C15" s="121"/>
      <c r="D15" s="122"/>
      <c r="E15" s="121"/>
      <c r="F15" s="121"/>
      <c r="G15" s="122"/>
      <c r="H15" s="121"/>
      <c r="I15" s="121"/>
      <c r="J15" s="122"/>
    </row>
    <row r="16" spans="1:12" s="64" customFormat="1">
      <c r="A16" s="62" t="s">
        <v>48</v>
      </c>
      <c r="B16" s="163">
        <f>SUM(CES1_Abricot!C14*CES1_Abricot!C15, CES1_Abricot!C16*CES1_Abricot!C17, CES1_Abricot!C19, CES1_Abricot!C21, CES1_Abricot!C23)</f>
        <v>525</v>
      </c>
      <c r="C16" s="164">
        <f t="shared" ref="C16:C22" si="4">B16</f>
        <v>525</v>
      </c>
      <c r="D16" s="165">
        <f>SUM(CES1_Abricot!H14*CES1_Abricot!H15, CES1_Abricot!H16*CES1_Abricot!H17, CES1_Abricot!H19, CES1_Abricot!H21, CES1_Abricot!H23)</f>
        <v>525</v>
      </c>
      <c r="E16" s="163">
        <f>SUM(CES1_Olivier!C14*CES1_Olivier!C15, CES1_Olivier!C16*CES1_Olivier!C17, CES1_Olivier!C19, CES1_Olivier!C21, CES1_Olivier!C23)</f>
        <v>320</v>
      </c>
      <c r="F16" s="164">
        <f t="shared" ref="F16:F22" si="5">E16</f>
        <v>320</v>
      </c>
      <c r="G16" s="165">
        <f>SUM(CES1_Olivier!H14*CES1_Olivier!H15, CES1_Olivier!H16*CES1_Olivier!H17, CES1_Olivier!H19, CES1_Olivier!H21, CES1_Olivier!H23)</f>
        <v>320</v>
      </c>
      <c r="H16" s="166"/>
      <c r="I16" s="166"/>
      <c r="J16" s="167"/>
    </row>
    <row r="17" spans="1:10" s="64" customFormat="1">
      <c r="A17" s="62" t="s">
        <v>223</v>
      </c>
      <c r="B17" s="163">
        <f>CES1_Abricot!C25*CES1_Abricot!C26</f>
        <v>780</v>
      </c>
      <c r="C17" s="164">
        <f t="shared" si="4"/>
        <v>780</v>
      </c>
      <c r="D17" s="165">
        <f>CES1_Abricot!H25*CES1_Abricot!H26</f>
        <v>780</v>
      </c>
      <c r="E17" s="163">
        <f>CES1_Olivier!C25*CES1_Olivier!C26</f>
        <v>300</v>
      </c>
      <c r="F17" s="164">
        <f t="shared" si="5"/>
        <v>300</v>
      </c>
      <c r="G17" s="165">
        <f>CES1_Olivier!H25*CES1_Olivier!H26</f>
        <v>300</v>
      </c>
      <c r="H17" s="166"/>
      <c r="I17" s="166"/>
      <c r="J17" s="167"/>
    </row>
    <row r="18" spans="1:10" s="183" customFormat="1">
      <c r="A18" s="62" t="s">
        <v>49</v>
      </c>
      <c r="B18" s="163">
        <f>CES1_Abricot!C29+CES1_Abricot!C31+CES1_Abricot!C33</f>
        <v>300.5</v>
      </c>
      <c r="C18" s="164">
        <f t="shared" si="4"/>
        <v>300.5</v>
      </c>
      <c r="D18" s="165">
        <f>CES1_Abricot!H29+CES1_Abricot!H31+CES1_Abricot!H33</f>
        <v>300.5</v>
      </c>
      <c r="E18" s="163">
        <f>CES1_Olivier!C29+CES1_Olivier!C31+CES1_Olivier!C33</f>
        <v>530</v>
      </c>
      <c r="F18" s="164">
        <f t="shared" si="5"/>
        <v>530</v>
      </c>
      <c r="G18" s="165">
        <f>CES1_Olivier!H29+CES1_Olivier!H31+CES1_Olivier!H33</f>
        <v>530</v>
      </c>
      <c r="H18" s="166"/>
      <c r="I18" s="166"/>
      <c r="J18" s="167"/>
    </row>
    <row r="19" spans="1:10" s="64" customFormat="1" ht="24">
      <c r="A19" s="65" t="s">
        <v>50</v>
      </c>
      <c r="B19" s="163">
        <f>CES1_Abricot!C36+CES1_Abricot!C38+CES1_Abricot!C40</f>
        <v>75</v>
      </c>
      <c r="C19" s="164">
        <f t="shared" si="4"/>
        <v>75</v>
      </c>
      <c r="D19" s="165">
        <f>CES1_Abricot!H36</f>
        <v>75</v>
      </c>
      <c r="E19" s="163">
        <f>CES1_Olivier!C36+CES1_Olivier!C38+CES1_Olivier!C40</f>
        <v>0</v>
      </c>
      <c r="F19" s="164">
        <f t="shared" si="5"/>
        <v>0</v>
      </c>
      <c r="G19" s="165">
        <f>CES1_Olivier!H36+CES1_Olivier!H38+CES1_Olivier!H40</f>
        <v>0</v>
      </c>
      <c r="H19" s="166"/>
      <c r="I19" s="166"/>
      <c r="J19" s="167"/>
    </row>
    <row r="20" spans="1:10" s="64" customFormat="1">
      <c r="A20" s="62" t="s">
        <v>51</v>
      </c>
      <c r="B20" s="163">
        <f>CES1_Abricot!C43</f>
        <v>4455</v>
      </c>
      <c r="C20" s="164">
        <f t="shared" si="4"/>
        <v>4455</v>
      </c>
      <c r="D20" s="165">
        <f>CES1_Abricot!H43</f>
        <v>4455</v>
      </c>
      <c r="E20" s="163">
        <f>CES1_Olivier!C43</f>
        <v>34</v>
      </c>
      <c r="F20" s="164">
        <f t="shared" si="5"/>
        <v>34</v>
      </c>
      <c r="G20" s="165">
        <f>CES1_Olivier!H43</f>
        <v>34</v>
      </c>
      <c r="H20" s="166"/>
      <c r="I20" s="166"/>
      <c r="J20" s="167"/>
    </row>
    <row r="21" spans="1:10" s="64" customFormat="1">
      <c r="A21" s="62" t="s">
        <v>52</v>
      </c>
      <c r="B21" s="163">
        <f>CES1_Abricot!C46+CES1_Abricot!C47*8*CES1_Abricot!C48+CES1_Abricot!C49*340*8*CES1_Abricot!C50</f>
        <v>8520</v>
      </c>
      <c r="C21" s="164">
        <f t="shared" si="4"/>
        <v>8520</v>
      </c>
      <c r="D21" s="165">
        <f>CES1_Abricot!H46+CES1_Abricot!H47*8*CES1_Abricot!H48+CES1_Abricot!H49*340*8*CES1_Abricot!H50</f>
        <v>8520</v>
      </c>
      <c r="E21" s="163">
        <f>CES1_Olivier!C46+CES1_Olivier!C47*8*CES1_Olivier!C48+CES1_Olivier!C49*340*8*CES1_Olivier!C50</f>
        <v>8160</v>
      </c>
      <c r="F21" s="164">
        <f t="shared" si="5"/>
        <v>8160</v>
      </c>
      <c r="G21" s="165">
        <f>CES1_Olivier!H46+CES1_Olivier!H47*8*CES1_Olivier!H48+CES1_Olivier!H49*340*8*CES1_Olivier!H50</f>
        <v>8160</v>
      </c>
      <c r="H21" s="166"/>
      <c r="I21" s="166"/>
      <c r="J21" s="167"/>
    </row>
    <row r="22" spans="1:10" s="64" customFormat="1">
      <c r="A22" s="62" t="s">
        <v>53</v>
      </c>
      <c r="B22" s="163">
        <f>SUM(CES1_Abricot!C52:C53,CES1_Abricot!C55:C57)</f>
        <v>0</v>
      </c>
      <c r="C22" s="164">
        <f t="shared" si="4"/>
        <v>0</v>
      </c>
      <c r="D22" s="165">
        <f>SUM(CES1_Abricot!H52:H53,CES1_Abricot!H55:H57)</f>
        <v>0</v>
      </c>
      <c r="E22" s="163">
        <f>SUM(CES1_Olivier!C52:C53,CES1_Olivier!C55:C57)</f>
        <v>0</v>
      </c>
      <c r="F22" s="164">
        <f t="shared" si="5"/>
        <v>0</v>
      </c>
      <c r="G22" s="165">
        <f>SUM(CES1_Olivier!E52:H53,CES1_Olivier!E55:H57)</f>
        <v>0</v>
      </c>
      <c r="H22" s="166"/>
      <c r="I22" s="166"/>
      <c r="J22" s="167"/>
    </row>
    <row r="23" spans="1:10">
      <c r="A23" s="66" t="s">
        <v>54</v>
      </c>
      <c r="B23" s="164">
        <f>SUM(B16:B22)</f>
        <v>14655.5</v>
      </c>
      <c r="C23" s="164">
        <f t="shared" ref="C23:F23" si="6">SUM(C16:C22)</f>
        <v>14655.5</v>
      </c>
      <c r="D23" s="170">
        <f t="shared" si="6"/>
        <v>14655.5</v>
      </c>
      <c r="E23" s="164">
        <f t="shared" si="6"/>
        <v>9344</v>
      </c>
      <c r="F23" s="164">
        <f t="shared" si="6"/>
        <v>9344</v>
      </c>
      <c r="G23" s="170">
        <f t="shared" ref="G23" si="7">SUM(G16:G22)</f>
        <v>9344</v>
      </c>
      <c r="H23" s="166"/>
      <c r="I23" s="166"/>
      <c r="J23" s="167"/>
    </row>
    <row r="24" spans="1:10">
      <c r="A24" s="67" t="s">
        <v>55</v>
      </c>
      <c r="B24" s="168">
        <f>B4*B23</f>
        <v>25140.038986354775</v>
      </c>
      <c r="C24" s="168">
        <f t="shared" ref="C24:F24" si="8">C4*C23</f>
        <v>25140.038986354775</v>
      </c>
      <c r="D24" s="169">
        <f t="shared" si="8"/>
        <v>56565.087719298237</v>
      </c>
      <c r="E24" s="168">
        <f t="shared" si="8"/>
        <v>6076.094584286805</v>
      </c>
      <c r="F24" s="168">
        <f t="shared" si="8"/>
        <v>6076.094584286805</v>
      </c>
      <c r="G24" s="169">
        <f>G4*G23</f>
        <v>9016.1403508771928</v>
      </c>
      <c r="H24" s="251"/>
      <c r="I24" s="251"/>
      <c r="J24" s="252"/>
    </row>
    <row r="25" spans="1:10">
      <c r="A25" s="47"/>
      <c r="B25" s="121"/>
      <c r="C25" s="121"/>
      <c r="D25" s="122"/>
      <c r="E25" s="121"/>
      <c r="F25" s="121"/>
      <c r="G25" s="122"/>
      <c r="H25" s="121"/>
      <c r="I25" s="121"/>
      <c r="J25" s="122"/>
    </row>
    <row r="26" spans="1:10">
      <c r="A26" s="68" t="s">
        <v>56</v>
      </c>
      <c r="B26" s="171">
        <f>B14-B24</f>
        <v>48255.717070453902</v>
      </c>
      <c r="C26" s="171">
        <f>C14-C24</f>
        <v>48255.717070453902</v>
      </c>
      <c r="D26" s="172">
        <f t="shared" ref="D26:J26" si="9">D14-D24</f>
        <v>179813.85964912281</v>
      </c>
      <c r="E26" s="171">
        <f t="shared" si="9"/>
        <v>-5633.0987761943788</v>
      </c>
      <c r="F26" s="171">
        <f t="shared" si="9"/>
        <v>-5633.0987761943788</v>
      </c>
      <c r="G26" s="172">
        <f>G14-G24</f>
        <v>-7983.6842105263158</v>
      </c>
      <c r="H26" s="171">
        <f t="shared" si="9"/>
        <v>112.85548677008389</v>
      </c>
      <c r="I26" s="171">
        <f t="shared" si="9"/>
        <v>208.34859096015487</v>
      </c>
      <c r="J26" s="172">
        <f t="shared" si="9"/>
        <v>124.14103544709232</v>
      </c>
    </row>
    <row r="27" spans="1:10">
      <c r="A27" s="47"/>
      <c r="B27" s="160"/>
      <c r="C27" s="161"/>
      <c r="D27" s="162"/>
      <c r="E27" s="160"/>
      <c r="F27" s="161"/>
      <c r="G27" s="162"/>
      <c r="H27" s="160"/>
      <c r="I27" s="161"/>
      <c r="J27" s="162"/>
    </row>
    <row r="28" spans="1:10">
      <c r="A28" s="63" t="s">
        <v>33</v>
      </c>
      <c r="B28" s="185">
        <f>CES1_Abricot!C54</f>
        <v>0</v>
      </c>
      <c r="C28" s="168">
        <f>B28</f>
        <v>0</v>
      </c>
      <c r="D28" s="184">
        <f>CES1_Abricot!H54</f>
        <v>0</v>
      </c>
      <c r="E28" s="185">
        <f>CES1_Olivier!C54</f>
        <v>0</v>
      </c>
      <c r="F28" s="168">
        <f>E28</f>
        <v>0</v>
      </c>
      <c r="G28" s="184">
        <f>CES1_Olivier!H54</f>
        <v>0</v>
      </c>
      <c r="H28" s="251"/>
      <c r="I28" s="251"/>
      <c r="J28" s="252"/>
    </row>
    <row r="29" spans="1:10" s="124" customFormat="1">
      <c r="A29" s="258" t="s">
        <v>110</v>
      </c>
      <c r="B29" s="253"/>
      <c r="C29" s="253"/>
      <c r="D29" s="254"/>
      <c r="E29" s="253"/>
      <c r="F29" s="253"/>
      <c r="G29" s="254"/>
      <c r="H29" s="253"/>
      <c r="I29" s="253"/>
      <c r="J29" s="254"/>
    </row>
    <row r="30" spans="1:10" ht="36">
      <c r="A30" s="69" t="s">
        <v>111</v>
      </c>
      <c r="B30" s="185">
        <f>SUM(CES1_Abricot!C59:C60)</f>
        <v>0</v>
      </c>
      <c r="C30" s="186">
        <v>0</v>
      </c>
      <c r="D30" s="184">
        <f>SUM(CES1_Abricot!H59:H60)</f>
        <v>0</v>
      </c>
      <c r="E30" s="185">
        <f>SUM(CES1_Olivier!C59:C60)</f>
        <v>0</v>
      </c>
      <c r="F30" s="186">
        <v>0</v>
      </c>
      <c r="G30" s="184">
        <f>SUM(CES1_Olivier!E59:H60)</f>
        <v>0</v>
      </c>
      <c r="H30" s="251"/>
      <c r="I30" s="253"/>
      <c r="J30" s="252"/>
    </row>
    <row r="34" spans="1:4" s="61" customFormat="1" ht="36">
      <c r="A34" s="57"/>
      <c r="B34" s="70" t="s">
        <v>47</v>
      </c>
      <c r="C34" s="58" t="s">
        <v>227</v>
      </c>
      <c r="D34" s="59" t="s">
        <v>226</v>
      </c>
    </row>
    <row r="35" spans="1:4" ht="24">
      <c r="A35" s="66" t="s">
        <v>57</v>
      </c>
      <c r="B35" s="173">
        <f>B14+E14+H14</f>
        <v>73951.607351671191</v>
      </c>
      <c r="C35" s="173">
        <f>C14+F14+I14</f>
        <v>74047.100455861262</v>
      </c>
      <c r="D35" s="174">
        <f>D14+G14+J14</f>
        <v>237535.54454421901</v>
      </c>
    </row>
    <row r="36" spans="1:4" ht="24">
      <c r="A36" s="71" t="s">
        <v>113</v>
      </c>
      <c r="B36" s="175">
        <f>B24+E24+H24</f>
        <v>31216.133570641581</v>
      </c>
      <c r="C36" s="175">
        <f t="shared" ref="C36:D36" si="10">C24+F24+I24</f>
        <v>31216.133570641581</v>
      </c>
      <c r="D36" s="176">
        <f t="shared" si="10"/>
        <v>65581.228070175435</v>
      </c>
    </row>
    <row r="37" spans="1:4">
      <c r="A37" s="66" t="s">
        <v>58</v>
      </c>
      <c r="B37" s="173">
        <f>B35-B36</f>
        <v>42735.473781029606</v>
      </c>
      <c r="C37" s="173">
        <f t="shared" ref="C37" si="11">C35-C36</f>
        <v>42830.966885219677</v>
      </c>
      <c r="D37" s="174">
        <f>D35-D36</f>
        <v>171954.31647404359</v>
      </c>
    </row>
    <row r="38" spans="1:4">
      <c r="A38" s="71" t="s">
        <v>33</v>
      </c>
      <c r="B38" s="175">
        <f>SUM(B28,E28,H28)</f>
        <v>0</v>
      </c>
      <c r="C38" s="175">
        <f t="shared" ref="C38:D38" si="12">SUM(C28,F28,I28)</f>
        <v>0</v>
      </c>
      <c r="D38" s="176">
        <f t="shared" si="12"/>
        <v>0</v>
      </c>
    </row>
    <row r="39" spans="1:4">
      <c r="A39" s="72" t="s">
        <v>59</v>
      </c>
      <c r="B39" s="177">
        <f>B37-B38</f>
        <v>42735.473781029606</v>
      </c>
      <c r="C39" s="177">
        <f t="shared" ref="C39:D39" si="13">C37-C38</f>
        <v>42830.966885219677</v>
      </c>
      <c r="D39" s="178">
        <f t="shared" si="13"/>
        <v>171954.31647404359</v>
      </c>
    </row>
    <row r="40" spans="1:4">
      <c r="A40" s="66" t="s">
        <v>66</v>
      </c>
      <c r="B40" s="179">
        <f>SUM(B29,E29,H29)</f>
        <v>0</v>
      </c>
      <c r="C40" s="173">
        <f t="shared" ref="C40:D40" si="14">SUM(C29,F29,I29)</f>
        <v>0</v>
      </c>
      <c r="D40" s="174">
        <f t="shared" si="14"/>
        <v>0</v>
      </c>
    </row>
    <row r="41" spans="1:4">
      <c r="A41" s="66" t="s">
        <v>37</v>
      </c>
      <c r="B41" s="179">
        <f>SUM(B30,E30,H30)</f>
        <v>0</v>
      </c>
      <c r="C41" s="173">
        <f t="shared" ref="C41:D41" si="15">SUM(C30,F30,I30)</f>
        <v>0</v>
      </c>
      <c r="D41" s="174">
        <f t="shared" si="15"/>
        <v>0</v>
      </c>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C3" sqref="C3"/>
    </sheetView>
  </sheetViews>
  <sheetFormatPr baseColWidth="10" defaultColWidth="9.1640625" defaultRowHeight="12" x14ac:dyDescent="0"/>
  <cols>
    <col min="1" max="1" width="28" style="64" customWidth="1"/>
    <col min="2" max="11" width="10.5" style="64" customWidth="1"/>
    <col min="12" max="16384" width="9.1640625" style="64"/>
  </cols>
  <sheetData>
    <row r="1" spans="1:12">
      <c r="A1" s="73" t="s">
        <v>60</v>
      </c>
      <c r="B1" s="74">
        <v>1</v>
      </c>
      <c r="C1" s="74">
        <v>2</v>
      </c>
      <c r="D1" s="74">
        <v>3</v>
      </c>
      <c r="E1" s="74">
        <v>4</v>
      </c>
      <c r="F1" s="74">
        <v>5</v>
      </c>
      <c r="G1" s="74">
        <v>6</v>
      </c>
      <c r="H1" s="74">
        <v>7</v>
      </c>
      <c r="I1" s="74">
        <v>8</v>
      </c>
      <c r="J1" s="74">
        <v>9</v>
      </c>
      <c r="K1" s="74">
        <v>10</v>
      </c>
    </row>
    <row r="2" spans="1:12">
      <c r="A2" s="75" t="s">
        <v>61</v>
      </c>
      <c r="B2" s="76"/>
      <c r="C2" s="76"/>
      <c r="D2" s="76"/>
      <c r="E2" s="76"/>
      <c r="F2" s="76"/>
      <c r="G2" s="76"/>
      <c r="H2" s="76"/>
      <c r="I2" s="76"/>
      <c r="J2" s="76"/>
      <c r="K2" s="76"/>
    </row>
    <row r="3" spans="1:12" s="79" customFormat="1">
      <c r="A3" s="77" t="s">
        <v>62</v>
      </c>
      <c r="B3" s="78">
        <f>'CES1_Marges par activité agric'!$B$35</f>
        <v>73951.607351671191</v>
      </c>
      <c r="C3" s="187">
        <f>(D3-B3)/2+B3</f>
        <v>73999.353903766227</v>
      </c>
      <c r="D3" s="78">
        <f>'CES1_Marges par activité agric'!$C$35</f>
        <v>74047.100455861262</v>
      </c>
      <c r="E3" s="78">
        <f>'CES1_Marges par activité agric'!$C$35</f>
        <v>74047.100455861262</v>
      </c>
      <c r="F3" s="78">
        <f>'CES1_Marges par activité agric'!$C$35</f>
        <v>74047.100455861262</v>
      </c>
      <c r="G3" s="78">
        <f>'CES1_Marges par activité agric'!$C$35</f>
        <v>74047.100455861262</v>
      </c>
      <c r="H3" s="78">
        <f>'CES1_Marges par activité agric'!$C$35</f>
        <v>74047.100455861262</v>
      </c>
      <c r="I3" s="78">
        <f>'CES1_Marges par activité agric'!$C$35</f>
        <v>74047.100455861262</v>
      </c>
      <c r="J3" s="78">
        <f>'CES1_Marges par activité agric'!$C$35</f>
        <v>74047.100455861262</v>
      </c>
      <c r="K3" s="78">
        <f>'CES1_Marges par activité agric'!$C$35</f>
        <v>74047.100455861262</v>
      </c>
    </row>
    <row r="4" spans="1:12">
      <c r="A4" s="80" t="s">
        <v>37</v>
      </c>
      <c r="B4" s="81">
        <f>'CES1_Marges par activité agric'!$B$41</f>
        <v>0</v>
      </c>
      <c r="C4" s="85">
        <f>(D4-B4)/2+B4</f>
        <v>0</v>
      </c>
      <c r="D4" s="81">
        <f>'CES1_Marges par activité agric'!$C$41</f>
        <v>0</v>
      </c>
      <c r="E4" s="81">
        <f>'CES1_Marges par activité agric'!$C$41</f>
        <v>0</v>
      </c>
      <c r="F4" s="81">
        <f>'CES1_Marges par activité agric'!$C$41</f>
        <v>0</v>
      </c>
      <c r="G4" s="81">
        <f>'CES1_Marges par activité agric'!$C$41</f>
        <v>0</v>
      </c>
      <c r="H4" s="81">
        <f>'CES1_Marges par activité agric'!$C$41</f>
        <v>0</v>
      </c>
      <c r="I4" s="81">
        <f>'CES1_Marges par activité agric'!$C$41</f>
        <v>0</v>
      </c>
      <c r="J4" s="81">
        <f>'CES1_Marges par activité agric'!$C$41</f>
        <v>0</v>
      </c>
      <c r="K4" s="81">
        <f>'CES1_Marges par activité agric'!$C$41</f>
        <v>0</v>
      </c>
    </row>
    <row r="5" spans="1:12">
      <c r="A5" s="62"/>
      <c r="B5" s="81"/>
      <c r="C5" s="81"/>
      <c r="D5" s="81"/>
      <c r="E5" s="81"/>
      <c r="F5" s="81"/>
      <c r="G5" s="81"/>
      <c r="H5" s="81"/>
      <c r="I5" s="81"/>
      <c r="J5" s="81"/>
      <c r="K5" s="81"/>
    </row>
    <row r="6" spans="1:12">
      <c r="A6" s="75" t="s">
        <v>63</v>
      </c>
      <c r="B6" s="81"/>
      <c r="C6" s="81"/>
      <c r="D6" s="81"/>
      <c r="E6" s="81"/>
      <c r="F6" s="81"/>
      <c r="G6" s="81"/>
      <c r="H6" s="81"/>
      <c r="I6" s="81"/>
      <c r="J6" s="81"/>
      <c r="K6" s="81"/>
    </row>
    <row r="7" spans="1:12">
      <c r="A7" s="80" t="s">
        <v>112</v>
      </c>
      <c r="B7" s="81">
        <f>'CES1_Marges par activité agric'!$B$40</f>
        <v>0</v>
      </c>
      <c r="C7" s="85">
        <f>(D7-B7)/2+B7</f>
        <v>0</v>
      </c>
      <c r="D7" s="81">
        <f>'CES1_Marges par activité agric'!$C$40</f>
        <v>0</v>
      </c>
      <c r="E7" s="81">
        <f>'CES1_Marges par activité agric'!$C$40</f>
        <v>0</v>
      </c>
      <c r="F7" s="81">
        <f>'CES1_Marges par activité agric'!$C$40</f>
        <v>0</v>
      </c>
      <c r="G7" s="81">
        <f>'CES1_Marges par activité agric'!$C$40</f>
        <v>0</v>
      </c>
      <c r="H7" s="81">
        <f>'CES1_Marges par activité agric'!$C$40</f>
        <v>0</v>
      </c>
      <c r="I7" s="81">
        <f>'CES1_Marges par activité agric'!$C$40</f>
        <v>0</v>
      </c>
      <c r="J7" s="81">
        <f>'CES1_Marges par activité agric'!$C$40</f>
        <v>0</v>
      </c>
      <c r="K7" s="81">
        <f>'CES1_Marges par activité agric'!$C$40</f>
        <v>0</v>
      </c>
    </row>
    <row r="8" spans="1:12">
      <c r="A8" s="80" t="s">
        <v>64</v>
      </c>
      <c r="B8" s="81">
        <f>(C9-B9)*0.7</f>
        <v>0</v>
      </c>
      <c r="C8" s="81">
        <f t="shared" ref="C8:J8" si="0">(D9-C9)*0.7</f>
        <v>0</v>
      </c>
      <c r="D8" s="81">
        <f t="shared" si="0"/>
        <v>0</v>
      </c>
      <c r="E8" s="81">
        <f t="shared" si="0"/>
        <v>0</v>
      </c>
      <c r="F8" s="81">
        <f t="shared" si="0"/>
        <v>0</v>
      </c>
      <c r="G8" s="81">
        <f t="shared" si="0"/>
        <v>0</v>
      </c>
      <c r="H8" s="81">
        <f t="shared" si="0"/>
        <v>0</v>
      </c>
      <c r="I8" s="81">
        <f t="shared" si="0"/>
        <v>0</v>
      </c>
      <c r="J8" s="81">
        <f t="shared" si="0"/>
        <v>0</v>
      </c>
      <c r="K8" s="81">
        <f>-SUM(B8:J8)</f>
        <v>0</v>
      </c>
    </row>
    <row r="9" spans="1:12">
      <c r="A9" s="80" t="s">
        <v>65</v>
      </c>
      <c r="B9" s="81">
        <f>'CES1_Marges par activité agric'!$B$36</f>
        <v>31216.133570641581</v>
      </c>
      <c r="C9" s="85">
        <f>(D9-B9)/2+B9</f>
        <v>31216.133570641581</v>
      </c>
      <c r="D9" s="81">
        <f>'CES1_Marges par activité agric'!$C$36</f>
        <v>31216.133570641581</v>
      </c>
      <c r="E9" s="81">
        <f>'CES1_Marges par activité agric'!$C$36</f>
        <v>31216.133570641581</v>
      </c>
      <c r="F9" s="81">
        <f>'CES1_Marges par activité agric'!$C$36</f>
        <v>31216.133570641581</v>
      </c>
      <c r="G9" s="81">
        <f>'CES1_Marges par activité agric'!$C$36</f>
        <v>31216.133570641581</v>
      </c>
      <c r="H9" s="81">
        <f>'CES1_Marges par activité agric'!$C$36</f>
        <v>31216.133570641581</v>
      </c>
      <c r="I9" s="81">
        <f>'CES1_Marges par activité agric'!$C$36</f>
        <v>31216.133570641581</v>
      </c>
      <c r="J9" s="81">
        <f>'CES1_Marges par activité agric'!$C$36</f>
        <v>31216.133570641581</v>
      </c>
      <c r="K9" s="81">
        <f>'CES1_Marges par activité agric'!$C$36</f>
        <v>31216.133570641581</v>
      </c>
    </row>
    <row r="10" spans="1:12">
      <c r="A10" s="80" t="s">
        <v>33</v>
      </c>
      <c r="B10" s="81">
        <f>'CES1_Marges par activité agric'!$B$38</f>
        <v>0</v>
      </c>
      <c r="C10" s="85">
        <f>(D10-B10)/2+B10</f>
        <v>0</v>
      </c>
      <c r="D10" s="81">
        <f>'CES1_Marges par activité agric'!$C$38</f>
        <v>0</v>
      </c>
      <c r="E10" s="81">
        <f>'CES1_Marges par activité agric'!$C$38</f>
        <v>0</v>
      </c>
      <c r="F10" s="81">
        <f>'CES1_Marges par activité agric'!$C$38</f>
        <v>0</v>
      </c>
      <c r="G10" s="81">
        <f>'CES1_Marges par activité agric'!$C$38</f>
        <v>0</v>
      </c>
      <c r="H10" s="81">
        <f>'CES1_Marges par activité agric'!$C$38</f>
        <v>0</v>
      </c>
      <c r="I10" s="81">
        <f>'CES1_Marges par activité agric'!$C$38</f>
        <v>0</v>
      </c>
      <c r="J10" s="81">
        <f>'CES1_Marges par activité agric'!$C$38</f>
        <v>0</v>
      </c>
      <c r="K10" s="81">
        <f>'CES1_Marges par activité agric'!$C$38</f>
        <v>0</v>
      </c>
    </row>
    <row r="11" spans="1:12">
      <c r="A11" s="62"/>
      <c r="B11" s="84"/>
      <c r="C11" s="84"/>
      <c r="D11" s="84"/>
      <c r="E11" s="84"/>
      <c r="F11" s="84"/>
      <c r="G11" s="84"/>
      <c r="H11" s="84"/>
      <c r="I11" s="84"/>
      <c r="J11" s="84"/>
      <c r="K11" s="84"/>
    </row>
    <row r="12" spans="1:12" ht="24">
      <c r="A12" s="100" t="s">
        <v>225</v>
      </c>
      <c r="B12" s="85">
        <f t="shared" ref="B12:K12" si="1">SUM(B2:B4)-SUM(B6:B10)</f>
        <v>42735.473781029606</v>
      </c>
      <c r="C12" s="85">
        <f t="shared" si="1"/>
        <v>42783.220333124642</v>
      </c>
      <c r="D12" s="85">
        <f t="shared" si="1"/>
        <v>42830.966885219677</v>
      </c>
      <c r="E12" s="85">
        <f t="shared" si="1"/>
        <v>42830.966885219677</v>
      </c>
      <c r="F12" s="85">
        <f t="shared" si="1"/>
        <v>42830.966885219677</v>
      </c>
      <c r="G12" s="85">
        <f t="shared" si="1"/>
        <v>42830.966885219677</v>
      </c>
      <c r="H12" s="85">
        <f t="shared" si="1"/>
        <v>42830.966885219677</v>
      </c>
      <c r="I12" s="85">
        <f t="shared" si="1"/>
        <v>42830.966885219677</v>
      </c>
      <c r="J12" s="85">
        <f t="shared" si="1"/>
        <v>42830.966885219677</v>
      </c>
      <c r="K12" s="85">
        <f t="shared" si="1"/>
        <v>42830.966885219677</v>
      </c>
      <c r="L12" s="86"/>
    </row>
    <row r="13" spans="1:12">
      <c r="A13" s="87"/>
      <c r="B13" s="88"/>
      <c r="C13" s="88"/>
      <c r="D13" s="88"/>
      <c r="E13" s="88"/>
      <c r="F13" s="88"/>
      <c r="G13" s="88"/>
      <c r="H13" s="88"/>
      <c r="I13" s="88"/>
      <c r="J13" s="88"/>
      <c r="K13" s="88"/>
    </row>
    <row r="20" spans="2:2">
      <c r="B20" s="89"/>
    </row>
    <row r="26" spans="2:2" s="79" customFormat="1"/>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Parametres economiques</vt:lpstr>
      <vt:lpstr>Répartition des cultures</vt:lpstr>
      <vt:lpstr>CES1_Abricot</vt:lpstr>
      <vt:lpstr>CES1_Olivier</vt:lpstr>
      <vt:lpstr>CES2_Abricot</vt:lpstr>
      <vt:lpstr>CES2_Olivier</vt:lpstr>
      <vt:lpstr>Parcours (lait et viande)</vt:lpstr>
      <vt:lpstr>CES1_Marges par activité agric</vt:lpstr>
      <vt:lpstr>CES1_Agric sans aménagement CES</vt:lpstr>
      <vt:lpstr>CES1_Agric avec aménagement CES</vt:lpstr>
      <vt:lpstr>CES2_Marges par activité agric</vt:lpstr>
      <vt:lpstr>CES2_Agric sans aménagement CES</vt:lpstr>
      <vt:lpstr>CES2_Agric avec aménagement CES</vt:lpstr>
      <vt:lpstr>Barrage</vt:lpstr>
      <vt:lpstr>CES_Barrage sans aménagement</vt:lpstr>
      <vt:lpstr>CES_Barrage avec aménagement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Q</dc:creator>
  <cp:lastModifiedBy>Emma Q</cp:lastModifiedBy>
  <dcterms:created xsi:type="dcterms:W3CDTF">2015-06-04T08:42:05Z</dcterms:created>
  <dcterms:modified xsi:type="dcterms:W3CDTF">2018-07-25T16:02:03Z</dcterms:modified>
</cp:coreProperties>
</file>