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dditional file 1" sheetId="2" r:id="rId1"/>
  </sheets>
  <calcPr calcId="152511"/>
</workbook>
</file>

<file path=xl/calcChain.xml><?xml version="1.0" encoding="utf-8"?>
<calcChain xmlns="http://schemas.openxmlformats.org/spreadsheetml/2006/main">
  <c r="T9" i="2" l="1"/>
  <c r="T7" i="2"/>
  <c r="T6" i="2"/>
  <c r="R9" i="2"/>
  <c r="R7" i="2"/>
  <c r="R6" i="2"/>
  <c r="P9" i="2"/>
  <c r="P8" i="2"/>
  <c r="P7" i="2"/>
  <c r="P6" i="2"/>
  <c r="O9" i="2"/>
  <c r="O8" i="2"/>
  <c r="O7" i="2"/>
  <c r="O6" i="2"/>
  <c r="N9" i="2"/>
  <c r="N8" i="2"/>
  <c r="N7" i="2"/>
  <c r="N6" i="2"/>
  <c r="L9" i="2"/>
  <c r="L8" i="2"/>
  <c r="L7" i="2"/>
  <c r="L6" i="2"/>
  <c r="J9" i="2"/>
  <c r="J8" i="2"/>
  <c r="J7" i="2"/>
  <c r="J6" i="2"/>
  <c r="I9" i="2"/>
  <c r="I8" i="2"/>
  <c r="I7" i="2"/>
  <c r="I6" i="2"/>
  <c r="G9" i="2"/>
  <c r="G8" i="2"/>
  <c r="G7" i="2"/>
  <c r="G6" i="2"/>
  <c r="E9" i="2"/>
  <c r="E8" i="2"/>
  <c r="E7" i="2"/>
  <c r="E6" i="2"/>
  <c r="C9" i="2"/>
  <c r="C8" i="2"/>
  <c r="C7" i="2"/>
  <c r="C6" i="2"/>
  <c r="T45" i="2"/>
  <c r="T44" i="2"/>
  <c r="T43" i="2"/>
  <c r="T42" i="2"/>
  <c r="T41" i="2"/>
  <c r="T40" i="2"/>
  <c r="T39" i="2"/>
  <c r="T38" i="2"/>
  <c r="T37" i="2"/>
  <c r="T36" i="2"/>
  <c r="T35" i="2"/>
  <c r="T34" i="2"/>
  <c r="R45" i="2"/>
  <c r="R44" i="2"/>
  <c r="R43" i="2"/>
  <c r="R42" i="2"/>
  <c r="R41" i="2"/>
  <c r="R40" i="2"/>
  <c r="R39" i="2"/>
  <c r="R38" i="2"/>
  <c r="R37" i="2"/>
  <c r="R36" i="2"/>
  <c r="R35" i="2"/>
  <c r="R34" i="2"/>
  <c r="P45" i="2"/>
  <c r="P44" i="2"/>
  <c r="P43" i="2"/>
  <c r="P42" i="2"/>
  <c r="P41" i="2"/>
  <c r="P40" i="2"/>
  <c r="P39" i="2"/>
  <c r="P38" i="2"/>
  <c r="P37" i="2"/>
  <c r="P36" i="2"/>
  <c r="P35" i="2"/>
  <c r="P34" i="2"/>
  <c r="O45" i="2"/>
  <c r="O44" i="2"/>
  <c r="O43" i="2"/>
  <c r="O42" i="2"/>
  <c r="O41" i="2"/>
  <c r="O40" i="2"/>
  <c r="O39" i="2"/>
  <c r="O38" i="2"/>
  <c r="O37" i="2"/>
  <c r="O36" i="2"/>
  <c r="O35" i="2"/>
  <c r="O34" i="2"/>
  <c r="N45" i="2"/>
  <c r="N44" i="2"/>
  <c r="N43" i="2"/>
  <c r="N42" i="2"/>
  <c r="N41" i="2"/>
  <c r="N40" i="2"/>
  <c r="N39" i="2"/>
  <c r="N38" i="2"/>
  <c r="N37" i="2"/>
  <c r="N36" i="2"/>
  <c r="N35" i="2"/>
  <c r="N34" i="2"/>
  <c r="L45" i="2"/>
  <c r="L44" i="2"/>
  <c r="L43" i="2"/>
  <c r="L42" i="2"/>
  <c r="L41" i="2"/>
  <c r="L40" i="2"/>
  <c r="L39" i="2"/>
  <c r="L38" i="2"/>
  <c r="L37" i="2"/>
  <c r="L36" i="2"/>
  <c r="L35" i="2"/>
  <c r="L34" i="2"/>
  <c r="J45" i="2"/>
  <c r="J44" i="2"/>
  <c r="J43" i="2"/>
  <c r="J42" i="2"/>
  <c r="J41" i="2"/>
  <c r="J40" i="2"/>
  <c r="J39" i="2"/>
  <c r="J38" i="2"/>
  <c r="J37" i="2"/>
  <c r="J36" i="2"/>
  <c r="J35" i="2"/>
  <c r="J34" i="2"/>
  <c r="I45" i="2"/>
  <c r="I44" i="2"/>
  <c r="I43" i="2"/>
  <c r="I42" i="2"/>
  <c r="I41" i="2"/>
  <c r="I40" i="2"/>
  <c r="I39" i="2"/>
  <c r="I38" i="2"/>
  <c r="I37" i="2"/>
  <c r="I36" i="2"/>
  <c r="I35" i="2"/>
  <c r="I34" i="2"/>
  <c r="G45" i="2"/>
  <c r="G44" i="2"/>
  <c r="G43" i="2"/>
  <c r="G42" i="2"/>
  <c r="G41" i="2"/>
  <c r="G40" i="2"/>
  <c r="G39" i="2"/>
  <c r="G38" i="2"/>
  <c r="G37" i="2"/>
  <c r="G36" i="2"/>
  <c r="G35" i="2"/>
  <c r="G34" i="2"/>
  <c r="E45" i="2"/>
  <c r="E44" i="2"/>
  <c r="E43" i="2"/>
  <c r="E42" i="2"/>
  <c r="E41" i="2"/>
  <c r="E40" i="2"/>
  <c r="E39" i="2"/>
  <c r="E38" i="2"/>
  <c r="E37" i="2"/>
  <c r="E36" i="2"/>
  <c r="E35" i="2"/>
  <c r="E34" i="2"/>
  <c r="C45" i="2"/>
  <c r="C44" i="2"/>
  <c r="C43" i="2"/>
  <c r="C42" i="2"/>
  <c r="C41" i="2"/>
  <c r="C40" i="2"/>
  <c r="C39" i="2"/>
  <c r="C38" i="2"/>
  <c r="C37" i="2"/>
  <c r="C36" i="2"/>
  <c r="C35" i="2"/>
  <c r="C34" i="2"/>
  <c r="Q5" i="2"/>
  <c r="P5" i="2"/>
  <c r="O5" i="2"/>
  <c r="M5" i="2"/>
  <c r="K5" i="2"/>
  <c r="H5" i="2"/>
  <c r="F5" i="2"/>
  <c r="D5" i="2"/>
  <c r="Q4" i="2"/>
  <c r="P4" i="2"/>
  <c r="O4" i="2"/>
  <c r="M4" i="2"/>
  <c r="K4" i="2"/>
  <c r="H4" i="2"/>
  <c r="F4" i="2"/>
  <c r="D4" i="2"/>
  <c r="Q3" i="2"/>
  <c r="P3" i="2"/>
  <c r="O3" i="2"/>
  <c r="M3" i="2"/>
  <c r="K3" i="2"/>
  <c r="H3" i="2"/>
  <c r="F3" i="2"/>
  <c r="D3" i="2"/>
  <c r="Q2" i="2"/>
  <c r="P2" i="2"/>
  <c r="O2" i="2"/>
  <c r="M2" i="2"/>
  <c r="K2" i="2"/>
  <c r="H2" i="2"/>
  <c r="F2" i="2"/>
  <c r="D2" i="2"/>
  <c r="Q33" i="2"/>
  <c r="P33" i="2"/>
  <c r="O33" i="2"/>
  <c r="M33" i="2"/>
  <c r="K33" i="2"/>
  <c r="H33" i="2"/>
  <c r="F33" i="2"/>
  <c r="D33" i="2"/>
  <c r="Q32" i="2"/>
  <c r="P32" i="2"/>
  <c r="O32" i="2"/>
  <c r="M32" i="2"/>
  <c r="K32" i="2"/>
  <c r="H32" i="2"/>
  <c r="F32" i="2"/>
  <c r="D32" i="2"/>
  <c r="Q31" i="2"/>
  <c r="P31" i="2"/>
  <c r="O31" i="2"/>
  <c r="M31" i="2"/>
  <c r="K31" i="2"/>
  <c r="H31" i="2"/>
  <c r="F31" i="2"/>
  <c r="D31" i="2"/>
  <c r="Q27" i="2"/>
  <c r="P27" i="2"/>
  <c r="O27" i="2"/>
  <c r="M27" i="2"/>
  <c r="K27" i="2"/>
  <c r="H27" i="2"/>
  <c r="F27" i="2"/>
  <c r="D27" i="2"/>
  <c r="Q26" i="2"/>
  <c r="P26" i="2"/>
  <c r="O26" i="2"/>
  <c r="M26" i="2"/>
  <c r="K26" i="2"/>
  <c r="H26" i="2"/>
  <c r="F26" i="2"/>
  <c r="D26" i="2"/>
  <c r="Q25" i="2"/>
  <c r="P25" i="2"/>
  <c r="O25" i="2"/>
  <c r="M25" i="2"/>
  <c r="K25" i="2"/>
  <c r="H25" i="2"/>
  <c r="F25" i="2"/>
  <c r="D25" i="2"/>
  <c r="Q30" i="2"/>
  <c r="P30" i="2"/>
  <c r="O30" i="2"/>
  <c r="M30" i="2"/>
  <c r="K30" i="2"/>
  <c r="H30" i="2"/>
  <c r="F30" i="2"/>
  <c r="D30" i="2"/>
  <c r="Q29" i="2"/>
  <c r="P29" i="2"/>
  <c r="O29" i="2"/>
  <c r="M29" i="2"/>
  <c r="K29" i="2"/>
  <c r="H29" i="2"/>
  <c r="F29" i="2"/>
  <c r="D29" i="2"/>
  <c r="Q28" i="2"/>
  <c r="P28" i="2"/>
  <c r="O28" i="2"/>
  <c r="M28" i="2"/>
  <c r="K28" i="2"/>
  <c r="H28" i="2"/>
  <c r="F28" i="2"/>
  <c r="D28" i="2"/>
  <c r="Q24" i="2"/>
  <c r="P24" i="2"/>
  <c r="O24" i="2"/>
  <c r="M24" i="2"/>
  <c r="K24" i="2"/>
  <c r="H24" i="2"/>
  <c r="F24" i="2"/>
  <c r="D24" i="2"/>
  <c r="Q23" i="2"/>
  <c r="P23" i="2"/>
  <c r="O23" i="2"/>
  <c r="M23" i="2"/>
  <c r="K23" i="2"/>
  <c r="H23" i="2"/>
  <c r="F23" i="2"/>
  <c r="D23" i="2"/>
  <c r="Q22" i="2"/>
  <c r="P22" i="2"/>
  <c r="O22" i="2"/>
  <c r="M22" i="2"/>
  <c r="K22" i="2"/>
  <c r="H22" i="2"/>
  <c r="F22" i="2"/>
  <c r="D22" i="2"/>
  <c r="Q21" i="2"/>
  <c r="P21" i="2"/>
  <c r="O21" i="2"/>
  <c r="M21" i="2"/>
  <c r="K21" i="2"/>
  <c r="H21" i="2"/>
  <c r="F21" i="2"/>
  <c r="D21" i="2"/>
  <c r="Q20" i="2"/>
  <c r="P20" i="2"/>
  <c r="O20" i="2"/>
  <c r="M20" i="2"/>
  <c r="K20" i="2"/>
  <c r="H20" i="2"/>
  <c r="F20" i="2"/>
  <c r="D20" i="2"/>
  <c r="Q19" i="2"/>
  <c r="P19" i="2"/>
  <c r="O19" i="2"/>
  <c r="M19" i="2"/>
  <c r="K19" i="2"/>
  <c r="H19" i="2"/>
  <c r="F19" i="2"/>
  <c r="D19" i="2"/>
  <c r="Q15" i="2"/>
  <c r="P15" i="2"/>
  <c r="O15" i="2"/>
  <c r="M15" i="2"/>
  <c r="K15" i="2"/>
  <c r="H15" i="2"/>
  <c r="F15" i="2"/>
  <c r="D15" i="2"/>
  <c r="Q14" i="2"/>
  <c r="P14" i="2"/>
  <c r="O14" i="2"/>
  <c r="M14" i="2"/>
  <c r="K14" i="2"/>
  <c r="H14" i="2"/>
  <c r="F14" i="2"/>
  <c r="D14" i="2"/>
  <c r="S13" i="2"/>
  <c r="Q13" i="2"/>
  <c r="P13" i="2"/>
  <c r="O13" i="2"/>
  <c r="M13" i="2"/>
  <c r="K13" i="2"/>
  <c r="H13" i="2"/>
  <c r="F13" i="2"/>
  <c r="D13" i="2"/>
  <c r="S18" i="2"/>
  <c r="Q18" i="2"/>
  <c r="P18" i="2"/>
  <c r="O18" i="2"/>
  <c r="M18" i="2"/>
  <c r="K18" i="2"/>
  <c r="H18" i="2"/>
  <c r="F18" i="2"/>
  <c r="D18" i="2"/>
  <c r="S17" i="2"/>
  <c r="Q17" i="2"/>
  <c r="P17" i="2"/>
  <c r="O17" i="2"/>
  <c r="M17" i="2"/>
  <c r="K17" i="2"/>
  <c r="H17" i="2"/>
  <c r="F17" i="2"/>
  <c r="D17" i="2"/>
  <c r="Q16" i="2"/>
  <c r="P16" i="2"/>
  <c r="O16" i="2"/>
  <c r="M16" i="2"/>
  <c r="K16" i="2"/>
  <c r="H16" i="2"/>
  <c r="F16" i="2"/>
  <c r="D16" i="2"/>
  <c r="Q12" i="2"/>
  <c r="P12" i="2"/>
  <c r="O12" i="2"/>
  <c r="M12" i="2"/>
  <c r="K12" i="2"/>
  <c r="H12" i="2"/>
  <c r="F12" i="2"/>
  <c r="D12" i="2"/>
  <c r="Q11" i="2"/>
  <c r="P11" i="2"/>
  <c r="O11" i="2"/>
  <c r="M11" i="2"/>
  <c r="K11" i="2"/>
  <c r="H11" i="2"/>
  <c r="F11" i="2"/>
  <c r="D11" i="2"/>
  <c r="Q10" i="2"/>
  <c r="P10" i="2"/>
  <c r="O10" i="2"/>
  <c r="M10" i="2"/>
  <c r="K10" i="2"/>
  <c r="H10" i="2"/>
  <c r="F10" i="2"/>
  <c r="D10" i="2"/>
</calcChain>
</file>

<file path=xl/sharedStrings.xml><?xml version="1.0" encoding="utf-8"?>
<sst xmlns="http://schemas.openxmlformats.org/spreadsheetml/2006/main" count="417" uniqueCount="11">
  <si>
    <t>abs</t>
  </si>
  <si>
    <t>Control</t>
  </si>
  <si>
    <t>Group 1</t>
  </si>
  <si>
    <t>Inoculated</t>
  </si>
  <si>
    <t>Contact</t>
  </si>
  <si>
    <t>Group 2</t>
  </si>
  <si>
    <t>Group 5</t>
  </si>
  <si>
    <t>Group 3</t>
  </si>
  <si>
    <t>Group 6</t>
  </si>
  <si>
    <t>Group 4</t>
  </si>
  <si>
    <t>dpi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</si>
</sst>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workbookViewId="0">
      <selection activeCell="B2" sqref="B2"/>
    </sheetView>
  </sheetViews>
  <sheetFormatPr defaultRowHeight="15" x14ac:dyDescent="0.25"/>
  <cols>
    <col min="2" max="3" width="13.85546875" customWidth="1"/>
  </cols>
  <sheetData>
    <row r="1" spans="1:20" ht="15.75" thickBot="1" x14ac:dyDescent="0.3">
      <c r="A1" s="1"/>
      <c r="B1" s="8" t="s">
        <v>10</v>
      </c>
      <c r="C1" s="8">
        <v>3</v>
      </c>
      <c r="D1" s="9">
        <v>6</v>
      </c>
      <c r="E1" s="9">
        <v>7</v>
      </c>
      <c r="F1" s="9">
        <v>9</v>
      </c>
      <c r="G1" s="9">
        <v>10</v>
      </c>
      <c r="H1" s="9">
        <v>13</v>
      </c>
      <c r="I1" s="9">
        <v>14</v>
      </c>
      <c r="J1" s="9">
        <v>17</v>
      </c>
      <c r="K1" s="9">
        <v>20</v>
      </c>
      <c r="L1" s="9">
        <v>21</v>
      </c>
      <c r="M1" s="9">
        <v>23</v>
      </c>
      <c r="N1" s="9">
        <v>24</v>
      </c>
      <c r="O1" s="9">
        <v>28</v>
      </c>
      <c r="P1" s="9">
        <v>31</v>
      </c>
      <c r="Q1" s="9">
        <v>34</v>
      </c>
      <c r="R1" s="9">
        <v>35</v>
      </c>
      <c r="S1" s="2">
        <v>37</v>
      </c>
      <c r="T1" s="11">
        <v>38</v>
      </c>
    </row>
    <row r="2" spans="1:20" x14ac:dyDescent="0.25">
      <c r="A2" s="10"/>
      <c r="B2" s="7" t="s">
        <v>1</v>
      </c>
      <c r="C2" s="7" t="s">
        <v>0</v>
      </c>
      <c r="D2" s="1">
        <f>(0.1+0.095)/2</f>
        <v>9.7500000000000003E-2</v>
      </c>
      <c r="E2" s="4" t="s">
        <v>0</v>
      </c>
      <c r="F2" s="1">
        <f>(0.122+0.096)/2</f>
        <v>0.109</v>
      </c>
      <c r="G2" s="4" t="s">
        <v>0</v>
      </c>
      <c r="H2" s="1">
        <f>(0.085+0.074)/2</f>
        <v>7.9500000000000001E-2</v>
      </c>
      <c r="I2" s="4" t="s">
        <v>0</v>
      </c>
      <c r="J2" s="4" t="s">
        <v>0</v>
      </c>
      <c r="K2" s="1">
        <f>(0.085+0.074)/2</f>
        <v>7.9500000000000001E-2</v>
      </c>
      <c r="L2" s="4" t="s">
        <v>0</v>
      </c>
      <c r="M2" s="1">
        <f>(0.132+0.13)/2</f>
        <v>0.13100000000000001</v>
      </c>
      <c r="N2" s="4" t="s">
        <v>0</v>
      </c>
      <c r="O2" s="1">
        <f>(0.081+0.072)/2</f>
        <v>7.6499999999999999E-2</v>
      </c>
      <c r="P2" s="1">
        <f>(0.074+0.081)/2</f>
        <v>7.7499999999999999E-2</v>
      </c>
      <c r="Q2" s="1">
        <f>(0.075+0.069)/2</f>
        <v>7.2000000000000008E-2</v>
      </c>
      <c r="R2" s="6" t="s">
        <v>0</v>
      </c>
      <c r="S2" s="1">
        <v>0.15</v>
      </c>
      <c r="T2" s="10" t="s">
        <v>0</v>
      </c>
    </row>
    <row r="3" spans="1:20" x14ac:dyDescent="0.25">
      <c r="A3" s="10"/>
      <c r="B3" s="7" t="s">
        <v>1</v>
      </c>
      <c r="C3" s="7" t="s">
        <v>0</v>
      </c>
      <c r="D3" s="1">
        <f>(0.071+0.085)/2</f>
        <v>7.8E-2</v>
      </c>
      <c r="E3" s="4" t="s">
        <v>0</v>
      </c>
      <c r="F3" s="1">
        <f>(0.093+0.092)/2</f>
        <v>9.2499999999999999E-2</v>
      </c>
      <c r="G3" s="4" t="s">
        <v>0</v>
      </c>
      <c r="H3" s="1">
        <f>(0.083+0.06)/2</f>
        <v>7.1500000000000008E-2</v>
      </c>
      <c r="I3" s="4" t="s">
        <v>0</v>
      </c>
      <c r="J3" s="4" t="s">
        <v>0</v>
      </c>
      <c r="K3" s="1">
        <f>(0.075+0.07)/2</f>
        <v>7.2500000000000009E-2</v>
      </c>
      <c r="L3" s="4" t="s">
        <v>0</v>
      </c>
      <c r="M3" s="1">
        <f>(0.141+0.121)/2</f>
        <v>0.13100000000000001</v>
      </c>
      <c r="N3" s="4" t="s">
        <v>0</v>
      </c>
      <c r="O3" s="1">
        <f>(0.076+0.07)/2</f>
        <v>7.3000000000000009E-2</v>
      </c>
      <c r="P3" s="1">
        <f>(0.08+0.094)/2</f>
        <v>8.6999999999999994E-2</v>
      </c>
      <c r="Q3" s="1">
        <f>(0.073+0.06)/2</f>
        <v>6.6500000000000004E-2</v>
      </c>
      <c r="R3" s="6" t="s">
        <v>0</v>
      </c>
      <c r="S3" s="1">
        <v>0.16400000000000001</v>
      </c>
      <c r="T3" s="10" t="s">
        <v>0</v>
      </c>
    </row>
    <row r="4" spans="1:20" x14ac:dyDescent="0.25">
      <c r="A4" s="10"/>
      <c r="B4" s="7" t="s">
        <v>1</v>
      </c>
      <c r="C4" s="7" t="s">
        <v>0</v>
      </c>
      <c r="D4" s="1">
        <f>(0.084+0.077)/2</f>
        <v>8.0500000000000002E-2</v>
      </c>
      <c r="E4" s="4" t="s">
        <v>0</v>
      </c>
      <c r="F4" s="1">
        <f>(0.094+0.088)/2</f>
        <v>9.0999999999999998E-2</v>
      </c>
      <c r="G4" s="4" t="s">
        <v>0</v>
      </c>
      <c r="H4" s="1">
        <f>(0.064+0.064)/2</f>
        <v>6.4000000000000001E-2</v>
      </c>
      <c r="I4" s="4" t="s">
        <v>0</v>
      </c>
      <c r="J4" s="4" t="s">
        <v>0</v>
      </c>
      <c r="K4" s="1">
        <f>(0.073+0.07)/2</f>
        <v>7.1500000000000008E-2</v>
      </c>
      <c r="L4" s="4" t="s">
        <v>0</v>
      </c>
      <c r="M4" s="1">
        <f>(0.13+0.156)/2</f>
        <v>0.14300000000000002</v>
      </c>
      <c r="N4" s="4" t="s">
        <v>0</v>
      </c>
      <c r="O4" s="1">
        <f>(0.066+0.069)/2</f>
        <v>6.7500000000000004E-2</v>
      </c>
      <c r="P4" s="1">
        <f>(0.075+0.081)/2</f>
        <v>7.8E-2</v>
      </c>
      <c r="Q4" s="1">
        <f>(0.058+0.065)/2</f>
        <v>6.1499999999999999E-2</v>
      </c>
      <c r="R4" s="6" t="s">
        <v>0</v>
      </c>
      <c r="S4" s="1">
        <v>0.20399999999999999</v>
      </c>
      <c r="T4" s="10" t="s">
        <v>0</v>
      </c>
    </row>
    <row r="5" spans="1:20" x14ac:dyDescent="0.25">
      <c r="A5" s="10"/>
      <c r="B5" s="7" t="s">
        <v>1</v>
      </c>
      <c r="C5" s="7" t="s">
        <v>0</v>
      </c>
      <c r="D5" s="1">
        <f>(0.093+0.074)/2</f>
        <v>8.3499999999999991E-2</v>
      </c>
      <c r="E5" s="4" t="s">
        <v>0</v>
      </c>
      <c r="F5" s="1">
        <f>(0.109+0.086)/2</f>
        <v>9.7500000000000003E-2</v>
      </c>
      <c r="G5" s="4" t="s">
        <v>0</v>
      </c>
      <c r="H5" s="1">
        <f>(0.073+0.064)/2</f>
        <v>6.8500000000000005E-2</v>
      </c>
      <c r="I5" s="4" t="s">
        <v>0</v>
      </c>
      <c r="J5" s="4" t="s">
        <v>0</v>
      </c>
      <c r="K5" s="1">
        <f>(0.081+0.061)/2</f>
        <v>7.1000000000000008E-2</v>
      </c>
      <c r="L5" s="4" t="s">
        <v>0</v>
      </c>
      <c r="M5" s="1">
        <f>(0.16+0.121)/2</f>
        <v>0.14050000000000001</v>
      </c>
      <c r="N5" s="4" t="s">
        <v>0</v>
      </c>
      <c r="O5" s="1">
        <f>(0.098+0.07)/25</f>
        <v>6.7200000000000003E-3</v>
      </c>
      <c r="P5" s="1">
        <f>(0.067+0.062)/2</f>
        <v>6.4500000000000002E-2</v>
      </c>
      <c r="Q5" s="1">
        <f>(0.084+0.059)/2</f>
        <v>7.1500000000000008E-2</v>
      </c>
      <c r="R5" s="6" t="s">
        <v>0</v>
      </c>
      <c r="S5" s="1">
        <v>0.16900000000000001</v>
      </c>
      <c r="T5" s="10" t="s">
        <v>0</v>
      </c>
    </row>
    <row r="6" spans="1:20" x14ac:dyDescent="0.25">
      <c r="A6" s="10"/>
      <c r="B6" s="7" t="s">
        <v>1</v>
      </c>
      <c r="C6" s="4">
        <f>(0.061+0.065)/2</f>
        <v>6.3E-2</v>
      </c>
      <c r="D6" s="1" t="s">
        <v>0</v>
      </c>
      <c r="E6" s="4">
        <f>(0.066+0.054)/2</f>
        <v>0.06</v>
      </c>
      <c r="F6" s="1" t="s">
        <v>0</v>
      </c>
      <c r="G6" s="4">
        <f>(0.066+0.06)/2</f>
        <v>6.3E-2</v>
      </c>
      <c r="H6" s="1" t="s">
        <v>0</v>
      </c>
      <c r="I6" s="4">
        <f>(0.093+0.084)/2</f>
        <v>8.8499999999999995E-2</v>
      </c>
      <c r="J6" s="4">
        <f>(0.064+0.053)/2</f>
        <v>5.8499999999999996E-2</v>
      </c>
      <c r="K6" s="1" t="s">
        <v>0</v>
      </c>
      <c r="L6" s="4">
        <f>(0.059+0.052)/2</f>
        <v>5.5499999999999994E-2</v>
      </c>
      <c r="M6" s="1" t="s">
        <v>0</v>
      </c>
      <c r="N6" s="4">
        <f>(0.082+0.075)/2</f>
        <v>7.85E-2</v>
      </c>
      <c r="O6" s="4">
        <f>(0.058+0.058)/2</f>
        <v>5.8000000000000003E-2</v>
      </c>
      <c r="P6" s="4">
        <f>(0.09+0.084)/2</f>
        <v>8.6999999999999994E-2</v>
      </c>
      <c r="Q6" s="1" t="s">
        <v>0</v>
      </c>
      <c r="R6" s="4">
        <f>(0.085+0.084)/2</f>
        <v>8.4500000000000006E-2</v>
      </c>
      <c r="S6" s="1" t="s">
        <v>0</v>
      </c>
      <c r="T6" s="4">
        <f>(0.069+0.064)/2</f>
        <v>6.6500000000000004E-2</v>
      </c>
    </row>
    <row r="7" spans="1:20" x14ac:dyDescent="0.25">
      <c r="A7" s="10"/>
      <c r="B7" s="7" t="s">
        <v>1</v>
      </c>
      <c r="C7" s="4">
        <f>(0.053+0.079)/2</f>
        <v>6.6000000000000003E-2</v>
      </c>
      <c r="D7" s="1" t="s">
        <v>0</v>
      </c>
      <c r="E7" s="4">
        <f>(0.059+0.064)/2</f>
        <v>6.1499999999999999E-2</v>
      </c>
      <c r="F7" s="1" t="s">
        <v>0</v>
      </c>
      <c r="G7" s="4">
        <f>(0.053+0.063)/2</f>
        <v>5.7999999999999996E-2</v>
      </c>
      <c r="H7" s="1" t="s">
        <v>0</v>
      </c>
      <c r="I7" s="4">
        <f>(0.083+0.095)/2</f>
        <v>8.8999999999999996E-2</v>
      </c>
      <c r="J7" s="4">
        <f>(0.051+0.065)/2</f>
        <v>5.7999999999999996E-2</v>
      </c>
      <c r="K7" s="1" t="s">
        <v>0</v>
      </c>
      <c r="L7" s="4">
        <f>(0.056+0.06)/2</f>
        <v>5.7999999999999996E-2</v>
      </c>
      <c r="M7" s="1" t="s">
        <v>0</v>
      </c>
      <c r="N7" s="4">
        <f>(0.073+0.077)/2</f>
        <v>7.4999999999999997E-2</v>
      </c>
      <c r="O7" s="4">
        <f>(0.068+0.06)/2</f>
        <v>6.4000000000000001E-2</v>
      </c>
      <c r="P7" s="4">
        <f>(0.094+0.062)/2</f>
        <v>7.8E-2</v>
      </c>
      <c r="Q7" s="1" t="s">
        <v>0</v>
      </c>
      <c r="R7" s="4">
        <f>(0.081+0.074)/2</f>
        <v>7.7499999999999999E-2</v>
      </c>
      <c r="S7" s="1" t="s">
        <v>0</v>
      </c>
      <c r="T7" s="4">
        <f>(0.061+0.07)/2</f>
        <v>6.5500000000000003E-2</v>
      </c>
    </row>
    <row r="8" spans="1:20" x14ac:dyDescent="0.25">
      <c r="A8" s="10"/>
      <c r="B8" s="7" t="s">
        <v>1</v>
      </c>
      <c r="C8" s="4">
        <f>(0.083+0.062)/2</f>
        <v>7.2500000000000009E-2</v>
      </c>
      <c r="D8" s="1" t="s">
        <v>0</v>
      </c>
      <c r="E8" s="4">
        <f>(0.075+0.055)/2</f>
        <v>6.5000000000000002E-2</v>
      </c>
      <c r="F8" s="1" t="s">
        <v>0</v>
      </c>
      <c r="G8" s="4">
        <f>(0.079+0.06)/2</f>
        <v>6.9500000000000006E-2</v>
      </c>
      <c r="H8" s="1" t="s">
        <v>0</v>
      </c>
      <c r="I8" s="4">
        <f>(0.185+0.085)/2</f>
        <v>0.13500000000000001</v>
      </c>
      <c r="J8" s="4">
        <f>(0.077+0.059)/2</f>
        <v>6.8000000000000005E-2</v>
      </c>
      <c r="K8" s="1" t="s">
        <v>0</v>
      </c>
      <c r="L8" s="4">
        <f>(0.085+0.054)/2</f>
        <v>6.9500000000000006E-2</v>
      </c>
      <c r="M8" s="1" t="s">
        <v>0</v>
      </c>
      <c r="N8" s="4">
        <f>(0.105+0.061)/2</f>
        <v>8.299999999999999E-2</v>
      </c>
      <c r="O8" s="4">
        <f>(0.064+0.067)/2</f>
        <v>6.5500000000000003E-2</v>
      </c>
      <c r="P8" s="4">
        <f>(0.067+0.082)/2</f>
        <v>7.4500000000000011E-2</v>
      </c>
      <c r="Q8" s="1" t="s">
        <v>0</v>
      </c>
      <c r="R8" s="6" t="s">
        <v>0</v>
      </c>
      <c r="S8" s="1" t="s">
        <v>0</v>
      </c>
      <c r="T8" s="6" t="s">
        <v>0</v>
      </c>
    </row>
    <row r="9" spans="1:20" x14ac:dyDescent="0.25">
      <c r="A9" s="10"/>
      <c r="B9" s="7" t="s">
        <v>1</v>
      </c>
      <c r="C9" s="4">
        <f>(0.075+0.082)/2</f>
        <v>7.85E-2</v>
      </c>
      <c r="D9" s="1" t="s">
        <v>0</v>
      </c>
      <c r="E9" s="4">
        <f>(0.067+0.06)/2</f>
        <v>6.3500000000000001E-2</v>
      </c>
      <c r="F9" s="1" t="s">
        <v>0</v>
      </c>
      <c r="G9" s="4">
        <f>(0.066+0.06)/2</f>
        <v>6.3E-2</v>
      </c>
      <c r="H9" s="1" t="s">
        <v>0</v>
      </c>
      <c r="I9" s="4">
        <f>(0.092+0.068)/2</f>
        <v>0.08</v>
      </c>
      <c r="J9" s="4">
        <f>(0.064+0.064)/2</f>
        <v>6.4000000000000001E-2</v>
      </c>
      <c r="K9" s="3" t="s">
        <v>0</v>
      </c>
      <c r="L9" s="4">
        <f>(0.063+0.055)/2</f>
        <v>5.8999999999999997E-2</v>
      </c>
      <c r="M9" s="1" t="s">
        <v>0</v>
      </c>
      <c r="N9" s="4">
        <f>(0.086+0.075)/2</f>
        <v>8.0499999999999988E-2</v>
      </c>
      <c r="O9" s="4">
        <f>(0.074+0.062)/2</f>
        <v>6.8000000000000005E-2</v>
      </c>
      <c r="P9" s="4">
        <f>(0.088+0.104)/2</f>
        <v>9.6000000000000002E-2</v>
      </c>
      <c r="Q9" s="3" t="s">
        <v>0</v>
      </c>
      <c r="R9" s="4">
        <f>(0.105+0.083)/2</f>
        <v>9.4E-2</v>
      </c>
      <c r="S9" s="3" t="s">
        <v>0</v>
      </c>
      <c r="T9" s="4">
        <f>(0.074+0.068)/2</f>
        <v>7.1000000000000008E-2</v>
      </c>
    </row>
    <row r="10" spans="1:20" x14ac:dyDescent="0.25">
      <c r="A10" s="1" t="s">
        <v>2</v>
      </c>
      <c r="B10" s="7" t="s">
        <v>3</v>
      </c>
      <c r="C10" s="7" t="s">
        <v>0</v>
      </c>
      <c r="D10" s="4">
        <f>(0.081+0.077)/2</f>
        <v>7.9000000000000001E-2</v>
      </c>
      <c r="E10" s="4" t="s">
        <v>0</v>
      </c>
      <c r="F10" s="4">
        <f>(0.099+0.074)/2</f>
        <v>8.6499999999999994E-2</v>
      </c>
      <c r="G10" s="4" t="s">
        <v>0</v>
      </c>
      <c r="H10" s="4">
        <f>(0.08+0.065)/2</f>
        <v>7.2500000000000009E-2</v>
      </c>
      <c r="I10" s="4" t="s">
        <v>0</v>
      </c>
      <c r="J10" s="4" t="s">
        <v>0</v>
      </c>
      <c r="K10" s="4">
        <f>(0.131+0.132)/2</f>
        <v>0.13150000000000001</v>
      </c>
      <c r="L10" s="4" t="s">
        <v>0</v>
      </c>
      <c r="M10" s="4">
        <f>(0.202+0.204)/2</f>
        <v>0.20300000000000001</v>
      </c>
      <c r="N10" s="4" t="s">
        <v>0</v>
      </c>
      <c r="O10" s="4">
        <f>(0.263+0.292)/2</f>
        <v>0.27749999999999997</v>
      </c>
      <c r="P10" s="5">
        <f>(0.83+0.69)/2</f>
        <v>0.76</v>
      </c>
      <c r="Q10" s="5">
        <f>(0.536+0.806)/2</f>
        <v>0.67100000000000004</v>
      </c>
      <c r="R10" s="6" t="s">
        <v>0</v>
      </c>
      <c r="S10" s="5">
        <v>2.3180000000000001</v>
      </c>
      <c r="T10" s="10" t="s">
        <v>0</v>
      </c>
    </row>
    <row r="11" spans="1:20" x14ac:dyDescent="0.25">
      <c r="A11" s="1"/>
      <c r="B11" s="7" t="s">
        <v>3</v>
      </c>
      <c r="C11" s="7" t="s">
        <v>0</v>
      </c>
      <c r="D11" s="4">
        <f>(0.057+0.067)/2</f>
        <v>6.2E-2</v>
      </c>
      <c r="E11" s="4" t="s">
        <v>0</v>
      </c>
      <c r="F11" s="4">
        <f>(0.072+0.092)/2</f>
        <v>8.199999999999999E-2</v>
      </c>
      <c r="G11" s="4" t="s">
        <v>0</v>
      </c>
      <c r="H11" s="4">
        <f>(0.345+0.312)/2</f>
        <v>0.32850000000000001</v>
      </c>
      <c r="I11" s="4" t="s">
        <v>0</v>
      </c>
      <c r="J11" s="4" t="s">
        <v>0</v>
      </c>
      <c r="K11" s="5">
        <f>(0.565+0.599)/2</f>
        <v>0.58199999999999996</v>
      </c>
      <c r="L11" s="4" t="s">
        <v>0</v>
      </c>
      <c r="M11" s="5">
        <f>(1+0.878)/2</f>
        <v>0.93900000000000006</v>
      </c>
      <c r="N11" s="4" t="s">
        <v>0</v>
      </c>
      <c r="O11" s="5">
        <f>(4.102+3.854)/2</f>
        <v>3.9780000000000002</v>
      </c>
      <c r="P11" s="5">
        <f>(4.089+4.109)/2</f>
        <v>4.0990000000000002</v>
      </c>
      <c r="Q11" s="5">
        <f>(4.069+4.088)/2</f>
        <v>4.0785</v>
      </c>
      <c r="R11" s="6" t="s">
        <v>0</v>
      </c>
      <c r="S11" s="5">
        <v>4.056</v>
      </c>
      <c r="T11" s="10" t="s">
        <v>0</v>
      </c>
    </row>
    <row r="12" spans="1:20" x14ac:dyDescent="0.25">
      <c r="A12" s="1"/>
      <c r="B12" s="7" t="s">
        <v>3</v>
      </c>
      <c r="C12" s="7" t="s">
        <v>0</v>
      </c>
      <c r="D12" s="4">
        <f>(0.069+0.068)/2</f>
        <v>6.8500000000000005E-2</v>
      </c>
      <c r="E12" s="4" t="s">
        <v>0</v>
      </c>
      <c r="F12" s="4">
        <f>(0.088+0.082)/2</f>
        <v>8.4999999999999992E-2</v>
      </c>
      <c r="G12" s="4" t="s">
        <v>0</v>
      </c>
      <c r="H12" s="4">
        <f>(0.076+0.083)/2</f>
        <v>7.9500000000000001E-2</v>
      </c>
      <c r="I12" s="4" t="s">
        <v>0</v>
      </c>
      <c r="J12" s="4" t="s">
        <v>0</v>
      </c>
      <c r="K12" s="5">
        <f>(0.855+0.79)/2</f>
        <v>0.82250000000000001</v>
      </c>
      <c r="L12" s="4" t="s">
        <v>0</v>
      </c>
      <c r="M12" s="5">
        <f>(2.82+2.438)/2</f>
        <v>2.629</v>
      </c>
      <c r="N12" s="4" t="s">
        <v>0</v>
      </c>
      <c r="O12" s="5">
        <f>(4.123+4.168)/2</f>
        <v>4.1455000000000002</v>
      </c>
      <c r="P12" s="5">
        <f>(3.748+4.155)/2</f>
        <v>3.9515000000000002</v>
      </c>
      <c r="Q12" s="5">
        <f>(3.523+4.134)/2</f>
        <v>3.8285</v>
      </c>
      <c r="R12" s="6" t="s">
        <v>0</v>
      </c>
      <c r="S12" s="5">
        <v>4.0469999999999997</v>
      </c>
      <c r="T12" s="10" t="s">
        <v>0</v>
      </c>
    </row>
    <row r="13" spans="1:20" x14ac:dyDescent="0.25">
      <c r="A13" s="1"/>
      <c r="B13" s="7" t="s">
        <v>4</v>
      </c>
      <c r="C13" s="7" t="s">
        <v>0</v>
      </c>
      <c r="D13" s="4">
        <f>(0.08+0.077)/2</f>
        <v>7.85E-2</v>
      </c>
      <c r="E13" s="4" t="s">
        <v>0</v>
      </c>
      <c r="F13" s="4">
        <f>(0.095+0.107)/2</f>
        <v>0.10100000000000001</v>
      </c>
      <c r="G13" s="4" t="s">
        <v>0</v>
      </c>
      <c r="H13" s="4">
        <f>(0.077+0.071)/2</f>
        <v>7.3999999999999996E-2</v>
      </c>
      <c r="I13" s="4" t="s">
        <v>0</v>
      </c>
      <c r="J13" s="4" t="s">
        <v>0</v>
      </c>
      <c r="K13" s="4">
        <f>(0.093+0.074)/2</f>
        <v>8.3499999999999991E-2</v>
      </c>
      <c r="L13" s="4" t="s">
        <v>0</v>
      </c>
      <c r="M13" s="4">
        <f>(0.133+0.122)/2</f>
        <v>0.1275</v>
      </c>
      <c r="N13" s="4" t="s">
        <v>0</v>
      </c>
      <c r="O13" s="4">
        <f>(0.066+0.08)/2</f>
        <v>7.3000000000000009E-2</v>
      </c>
      <c r="P13" s="5">
        <f>(0.377+0.404)/2</f>
        <v>0.39050000000000001</v>
      </c>
      <c r="Q13" s="5">
        <f>(0.458+0.463)/2</f>
        <v>0.46050000000000002</v>
      </c>
      <c r="R13" s="6" t="s">
        <v>0</v>
      </c>
      <c r="S13" s="5">
        <f>3.564</f>
        <v>3.5640000000000001</v>
      </c>
      <c r="T13" s="10" t="s">
        <v>0</v>
      </c>
    </row>
    <row r="14" spans="1:20" x14ac:dyDescent="0.25">
      <c r="A14" s="1"/>
      <c r="B14" s="7" t="s">
        <v>4</v>
      </c>
      <c r="C14" s="7" t="s">
        <v>0</v>
      </c>
      <c r="D14" s="4">
        <f>(0.065+0.08)/2</f>
        <v>7.2500000000000009E-2</v>
      </c>
      <c r="E14" s="4" t="s">
        <v>0</v>
      </c>
      <c r="F14" s="4">
        <f>(0.097+0.091)/2</f>
        <v>9.4E-2</v>
      </c>
      <c r="G14" s="4" t="s">
        <v>0</v>
      </c>
      <c r="H14" s="4">
        <f>(0.072+0.069)/2</f>
        <v>7.0500000000000007E-2</v>
      </c>
      <c r="I14" s="4" t="s">
        <v>0</v>
      </c>
      <c r="J14" s="4" t="s">
        <v>0</v>
      </c>
      <c r="K14" s="4">
        <f>(0.073+0.073)/2</f>
        <v>7.2999999999999995E-2</v>
      </c>
      <c r="L14" s="4" t="s">
        <v>0</v>
      </c>
      <c r="M14" s="4">
        <f>(0.126+0.119)/2</f>
        <v>0.1225</v>
      </c>
      <c r="N14" s="4" t="s">
        <v>0</v>
      </c>
      <c r="O14" s="4">
        <f>(0.066+0.059)/2</f>
        <v>6.25E-2</v>
      </c>
      <c r="P14" s="4">
        <f>(0.075+0.071)/2</f>
        <v>7.2999999999999995E-2</v>
      </c>
      <c r="Q14" s="4">
        <f>(0.072+0.063)/2</f>
        <v>6.7500000000000004E-2</v>
      </c>
      <c r="R14" s="6" t="s">
        <v>0</v>
      </c>
      <c r="S14" s="5">
        <v>1.3009999999999999</v>
      </c>
      <c r="T14" s="10" t="s">
        <v>0</v>
      </c>
    </row>
    <row r="15" spans="1:20" x14ac:dyDescent="0.25">
      <c r="A15" s="1"/>
      <c r="B15" s="7" t="s">
        <v>4</v>
      </c>
      <c r="C15" s="7" t="s">
        <v>0</v>
      </c>
      <c r="D15" s="4">
        <f>(0.086+0.075)/2</f>
        <v>8.0499999999999988E-2</v>
      </c>
      <c r="E15" s="4" t="s">
        <v>0</v>
      </c>
      <c r="F15" s="4">
        <f>(0.086+0.077)/2</f>
        <v>8.1499999999999989E-2</v>
      </c>
      <c r="G15" s="4" t="s">
        <v>0</v>
      </c>
      <c r="H15" s="4">
        <f>(0.065+0.064)/2</f>
        <v>6.4500000000000002E-2</v>
      </c>
      <c r="I15" s="4" t="s">
        <v>0</v>
      </c>
      <c r="J15" s="4" t="s">
        <v>0</v>
      </c>
      <c r="K15" s="4">
        <f>(0.069+0.071)/2</f>
        <v>7.0000000000000007E-2</v>
      </c>
      <c r="L15" s="4" t="s">
        <v>0</v>
      </c>
      <c r="M15" s="4">
        <f>(0.124+0.131)/2</f>
        <v>0.1275</v>
      </c>
      <c r="N15" s="4" t="s">
        <v>0</v>
      </c>
      <c r="O15" s="4">
        <f>(0.079+0.231)/2</f>
        <v>0.155</v>
      </c>
      <c r="P15" s="5">
        <f>(0.748+0.724)/2</f>
        <v>0.73599999999999999</v>
      </c>
      <c r="Q15" s="5">
        <f>(1.315+1.305)/2</f>
        <v>1.31</v>
      </c>
      <c r="R15" s="6" t="s">
        <v>0</v>
      </c>
      <c r="S15" s="5">
        <v>4.0789999999999997</v>
      </c>
      <c r="T15" s="10" t="s">
        <v>0</v>
      </c>
    </row>
    <row r="16" spans="1:20" x14ac:dyDescent="0.25">
      <c r="A16" s="1" t="s">
        <v>5</v>
      </c>
      <c r="B16" s="7" t="s">
        <v>3</v>
      </c>
      <c r="C16" s="7" t="s">
        <v>0</v>
      </c>
      <c r="D16" s="4">
        <f>(0.067+0.062)/2</f>
        <v>6.4500000000000002E-2</v>
      </c>
      <c r="E16" s="4" t="s">
        <v>0</v>
      </c>
      <c r="F16" s="4">
        <f>(0.091+0.077)/2</f>
        <v>8.3999999999999991E-2</v>
      </c>
      <c r="G16" s="4" t="s">
        <v>0</v>
      </c>
      <c r="H16" s="4">
        <f>(0.067+0.062)/2</f>
        <v>6.4500000000000002E-2</v>
      </c>
      <c r="I16" s="4" t="s">
        <v>0</v>
      </c>
      <c r="J16" s="4" t="s">
        <v>0</v>
      </c>
      <c r="K16" s="4">
        <f>(0.195+0.176)/2</f>
        <v>0.1855</v>
      </c>
      <c r="L16" s="4" t="s">
        <v>0</v>
      </c>
      <c r="M16" s="4">
        <f>(0.284+0.257)/2</f>
        <v>0.27049999999999996</v>
      </c>
      <c r="N16" s="4" t="s">
        <v>0</v>
      </c>
      <c r="O16" s="4">
        <f>(0.241+0.253)/2</f>
        <v>0.247</v>
      </c>
      <c r="P16" s="4">
        <f>(0.255+0.236)/2</f>
        <v>0.2455</v>
      </c>
      <c r="Q16" s="5">
        <f>(0.422+0.39)/2</f>
        <v>0.40600000000000003</v>
      </c>
      <c r="R16" s="6" t="s">
        <v>0</v>
      </c>
      <c r="S16" s="5">
        <v>1.512</v>
      </c>
      <c r="T16" s="10" t="s">
        <v>0</v>
      </c>
    </row>
    <row r="17" spans="1:20" x14ac:dyDescent="0.25">
      <c r="A17" s="1"/>
      <c r="B17" s="7" t="s">
        <v>3</v>
      </c>
      <c r="C17" s="7" t="s">
        <v>0</v>
      </c>
      <c r="D17" s="4">
        <f>(0.076+0.072)/2</f>
        <v>7.3999999999999996E-2</v>
      </c>
      <c r="E17" s="4" t="s">
        <v>0</v>
      </c>
      <c r="F17" s="4">
        <f>(0.11+0.077)/2</f>
        <v>9.35E-2</v>
      </c>
      <c r="G17" s="4" t="s">
        <v>0</v>
      </c>
      <c r="H17" s="4">
        <f>(0.077+0.071)/2</f>
        <v>7.3999999999999996E-2</v>
      </c>
      <c r="I17" s="4" t="s">
        <v>0</v>
      </c>
      <c r="J17" s="4" t="s">
        <v>0</v>
      </c>
      <c r="K17" s="4">
        <f>(0.079+0.079)/2</f>
        <v>7.9000000000000001E-2</v>
      </c>
      <c r="L17" s="4" t="s">
        <v>0</v>
      </c>
      <c r="M17" s="4">
        <f>(0.134+0.134)/2</f>
        <v>0.13400000000000001</v>
      </c>
      <c r="N17" s="4" t="s">
        <v>0</v>
      </c>
      <c r="O17" s="4">
        <f>(0.079+0.072)/2</f>
        <v>7.5499999999999998E-2</v>
      </c>
      <c r="P17" s="4">
        <f>(0.086+0.068)/2</f>
        <v>7.6999999999999999E-2</v>
      </c>
      <c r="Q17" s="4">
        <f>(0.1+0.077)/2</f>
        <v>8.8499999999999995E-2</v>
      </c>
      <c r="R17" s="6" t="s">
        <v>0</v>
      </c>
      <c r="S17" s="4">
        <f>0.24</f>
        <v>0.24</v>
      </c>
      <c r="T17" s="10" t="s">
        <v>0</v>
      </c>
    </row>
    <row r="18" spans="1:20" x14ac:dyDescent="0.25">
      <c r="A18" s="1"/>
      <c r="B18" s="7" t="s">
        <v>3</v>
      </c>
      <c r="C18" s="7" t="s">
        <v>0</v>
      </c>
      <c r="D18" s="4">
        <f>(0.055+0.066)/2</f>
        <v>6.0499999999999998E-2</v>
      </c>
      <c r="E18" s="4" t="s">
        <v>0</v>
      </c>
      <c r="F18" s="4">
        <f>(0.082+0.083)/2</f>
        <v>8.2500000000000004E-2</v>
      </c>
      <c r="G18" s="4" t="s">
        <v>0</v>
      </c>
      <c r="H18" s="4">
        <f>(0.066+0.065)/2</f>
        <v>6.5500000000000003E-2</v>
      </c>
      <c r="I18" s="4" t="s">
        <v>0</v>
      </c>
      <c r="J18" s="4" t="s">
        <v>0</v>
      </c>
      <c r="K18" s="4">
        <f>(0.173+0.178)/2</f>
        <v>0.17549999999999999</v>
      </c>
      <c r="L18" s="4" t="s">
        <v>0</v>
      </c>
      <c r="M18" s="4">
        <f>(0.212+0.206)/2</f>
        <v>0.20899999999999999</v>
      </c>
      <c r="N18" s="4" t="s">
        <v>0</v>
      </c>
      <c r="O18" s="4">
        <f>(0.317+0.297)/2</f>
        <v>0.307</v>
      </c>
      <c r="P18" s="4">
        <f>(0.038+0.646)/2</f>
        <v>0.34200000000000003</v>
      </c>
      <c r="Q18" s="5">
        <f>(0.426+0.471)/2</f>
        <v>0.44850000000000001</v>
      </c>
      <c r="R18" s="6" t="s">
        <v>0</v>
      </c>
      <c r="S18" s="5">
        <f>(0.471+0.494)/2</f>
        <v>0.48249999999999998</v>
      </c>
      <c r="T18" s="10" t="s">
        <v>0</v>
      </c>
    </row>
    <row r="19" spans="1:20" x14ac:dyDescent="0.25">
      <c r="A19" s="1"/>
      <c r="B19" s="7" t="s">
        <v>4</v>
      </c>
      <c r="C19" s="7" t="s">
        <v>0</v>
      </c>
      <c r="D19" s="4">
        <f>(0.082+0.078)/2</f>
        <v>0.08</v>
      </c>
      <c r="E19" s="4" t="s">
        <v>0</v>
      </c>
      <c r="F19" s="4">
        <f>(0.091+0.076)/2</f>
        <v>8.3499999999999991E-2</v>
      </c>
      <c r="G19" s="4" t="s">
        <v>0</v>
      </c>
      <c r="H19" s="4">
        <f>(0.083+0.064)/2</f>
        <v>7.350000000000001E-2</v>
      </c>
      <c r="I19" s="4" t="s">
        <v>0</v>
      </c>
      <c r="J19" s="4" t="s">
        <v>0</v>
      </c>
      <c r="K19" s="4">
        <f>(0.079+0.063)/2</f>
        <v>7.1000000000000008E-2</v>
      </c>
      <c r="L19" s="4" t="s">
        <v>0</v>
      </c>
      <c r="M19" s="4">
        <f>(0.148+0.104)/2</f>
        <v>0.126</v>
      </c>
      <c r="N19" s="4" t="s">
        <v>0</v>
      </c>
      <c r="O19" s="4">
        <f>(0.078+0.068)/2</f>
        <v>7.3000000000000009E-2</v>
      </c>
      <c r="P19" s="4">
        <f>(0.109+0.091)/2</f>
        <v>0.1</v>
      </c>
      <c r="Q19" s="4">
        <f>(0.149+0.142)/2</f>
        <v>0.14549999999999999</v>
      </c>
      <c r="R19" s="6" t="s">
        <v>0</v>
      </c>
      <c r="S19" s="5">
        <v>1.7569999999999999</v>
      </c>
      <c r="T19" s="10" t="s">
        <v>0</v>
      </c>
    </row>
    <row r="20" spans="1:20" x14ac:dyDescent="0.25">
      <c r="A20" s="1"/>
      <c r="B20" s="7" t="s">
        <v>4</v>
      </c>
      <c r="C20" s="7" t="s">
        <v>0</v>
      </c>
      <c r="D20" s="4">
        <f>(0.101+0.081)/2</f>
        <v>9.0999999999999998E-2</v>
      </c>
      <c r="E20" s="4" t="s">
        <v>0</v>
      </c>
      <c r="F20" s="4">
        <f>(0.103+0.089)/2</f>
        <v>9.6000000000000002E-2</v>
      </c>
      <c r="G20" s="4" t="s">
        <v>0</v>
      </c>
      <c r="H20" s="4">
        <f>(0.083+0.071)/2</f>
        <v>7.6999999999999999E-2</v>
      </c>
      <c r="I20" s="4" t="s">
        <v>0</v>
      </c>
      <c r="J20" s="4" t="s">
        <v>0</v>
      </c>
      <c r="K20" s="4">
        <f>(0.097+0.076)/2</f>
        <v>8.6499999999999994E-2</v>
      </c>
      <c r="L20" s="4" t="s">
        <v>0</v>
      </c>
      <c r="M20" s="4">
        <f>(0.12+0.116)/2</f>
        <v>0.11799999999999999</v>
      </c>
      <c r="N20" s="4" t="s">
        <v>0</v>
      </c>
      <c r="O20" s="4">
        <f>(0.079+0.071)/2</f>
        <v>7.4999999999999997E-2</v>
      </c>
      <c r="P20" s="4">
        <f>(0.147+0.132)/2</f>
        <v>0.13950000000000001</v>
      </c>
      <c r="Q20" s="4">
        <f>(0.118+0.113)/2</f>
        <v>0.11549999999999999</v>
      </c>
      <c r="R20" s="6" t="s">
        <v>0</v>
      </c>
      <c r="S20" s="5">
        <v>1.847</v>
      </c>
      <c r="T20" s="10" t="s">
        <v>0</v>
      </c>
    </row>
    <row r="21" spans="1:20" x14ac:dyDescent="0.25">
      <c r="A21" s="1"/>
      <c r="B21" s="7" t="s">
        <v>4</v>
      </c>
      <c r="C21" s="7" t="s">
        <v>0</v>
      </c>
      <c r="D21" s="4">
        <f>(0.068+0.072)/2</f>
        <v>7.0000000000000007E-2</v>
      </c>
      <c r="E21" s="4" t="s">
        <v>0</v>
      </c>
      <c r="F21" s="4">
        <f>(0.086+0.099)/2</f>
        <v>9.2499999999999999E-2</v>
      </c>
      <c r="G21" s="4" t="s">
        <v>0</v>
      </c>
      <c r="H21" s="4">
        <f>(0.071+0.07)/2</f>
        <v>7.0500000000000007E-2</v>
      </c>
      <c r="I21" s="4" t="s">
        <v>0</v>
      </c>
      <c r="J21" s="4" t="s">
        <v>0</v>
      </c>
      <c r="K21" s="4">
        <f>(0.073+0.075)/2</f>
        <v>7.3999999999999996E-2</v>
      </c>
      <c r="L21" s="4" t="s">
        <v>0</v>
      </c>
      <c r="M21" s="4">
        <f>(0.134+0.127)/2</f>
        <v>0.1305</v>
      </c>
      <c r="N21" s="4" t="s">
        <v>0</v>
      </c>
      <c r="O21" s="6">
        <f>(0.079+0.061)/2</f>
        <v>7.0000000000000007E-2</v>
      </c>
      <c r="P21" s="4">
        <f>(0.067+0.08)/2</f>
        <v>7.350000000000001E-2</v>
      </c>
      <c r="Q21" s="4">
        <f>(0.063+0.06)/2</f>
        <v>6.1499999999999999E-2</v>
      </c>
      <c r="R21" s="6" t="s">
        <v>0</v>
      </c>
      <c r="S21" s="4">
        <v>0.188</v>
      </c>
      <c r="T21" s="10" t="s">
        <v>0</v>
      </c>
    </row>
    <row r="22" spans="1:20" x14ac:dyDescent="0.25">
      <c r="A22" s="1" t="s">
        <v>7</v>
      </c>
      <c r="B22" s="7" t="s">
        <v>3</v>
      </c>
      <c r="C22" s="7" t="s">
        <v>0</v>
      </c>
      <c r="D22" s="4">
        <f>(0.07+0.055)/2</f>
        <v>6.25E-2</v>
      </c>
      <c r="E22" s="4" t="s">
        <v>0</v>
      </c>
      <c r="F22" s="4">
        <f>(0.085+0.08)/2</f>
        <v>8.2500000000000004E-2</v>
      </c>
      <c r="G22" s="4" t="s">
        <v>0</v>
      </c>
      <c r="H22" s="4">
        <f>(0.061+0.063)/2</f>
        <v>6.2E-2</v>
      </c>
      <c r="I22" s="4" t="s">
        <v>0</v>
      </c>
      <c r="J22" s="4" t="s">
        <v>0</v>
      </c>
      <c r="K22" s="4">
        <f>(0.07+0.07)/2</f>
        <v>7.0000000000000007E-2</v>
      </c>
      <c r="L22" s="4" t="s">
        <v>0</v>
      </c>
      <c r="M22" s="4">
        <f>(0.129+0.134)/2</f>
        <v>0.13150000000000001</v>
      </c>
      <c r="N22" s="4" t="s">
        <v>0</v>
      </c>
      <c r="O22" s="4">
        <f>(0.063+0.072)/2</f>
        <v>6.7500000000000004E-2</v>
      </c>
      <c r="P22" s="4">
        <f>(0.076+0.075)/2</f>
        <v>7.5499999999999998E-2</v>
      </c>
      <c r="Q22" s="4">
        <f>(0.063+0.156)/2</f>
        <v>0.1095</v>
      </c>
      <c r="R22" s="6" t="s">
        <v>0</v>
      </c>
      <c r="S22" s="4">
        <v>0.20699999999999999</v>
      </c>
      <c r="T22" s="10" t="s">
        <v>0</v>
      </c>
    </row>
    <row r="23" spans="1:20" x14ac:dyDescent="0.25">
      <c r="A23" s="1"/>
      <c r="B23" s="7" t="s">
        <v>3</v>
      </c>
      <c r="C23" s="7" t="s">
        <v>0</v>
      </c>
      <c r="D23" s="4">
        <f>(0.069+0.064)/2</f>
        <v>6.6500000000000004E-2</v>
      </c>
      <c r="E23" s="4" t="s">
        <v>0</v>
      </c>
      <c r="F23" s="4">
        <f>(0.1+0.074)/2</f>
        <v>8.6999999999999994E-2</v>
      </c>
      <c r="G23" s="4" t="s">
        <v>0</v>
      </c>
      <c r="H23" s="4">
        <f>(0.067+0.059)/2</f>
        <v>6.3E-2</v>
      </c>
      <c r="I23" s="4" t="s">
        <v>0</v>
      </c>
      <c r="J23" s="4" t="s">
        <v>0</v>
      </c>
      <c r="K23" s="4">
        <f>(0.091+0.065)/2</f>
        <v>7.8E-2</v>
      </c>
      <c r="L23" s="4" t="s">
        <v>0</v>
      </c>
      <c r="M23" s="4">
        <f>(0.161+0.131)/2</f>
        <v>0.14600000000000002</v>
      </c>
      <c r="N23" s="4" t="s">
        <v>0</v>
      </c>
      <c r="O23" s="4">
        <f>(0.145+0.133)/2</f>
        <v>0.13900000000000001</v>
      </c>
      <c r="P23" s="4">
        <f>(0.248+0.12)/2</f>
        <v>0.184</v>
      </c>
      <c r="Q23" s="4">
        <f>(0.293+0.237)/2</f>
        <v>0.26500000000000001</v>
      </c>
      <c r="R23" s="6" t="s">
        <v>0</v>
      </c>
      <c r="S23" s="5">
        <v>1.0720000000000001</v>
      </c>
      <c r="T23" s="10" t="s">
        <v>0</v>
      </c>
    </row>
    <row r="24" spans="1:20" x14ac:dyDescent="0.25">
      <c r="A24" s="1"/>
      <c r="B24" s="7" t="s">
        <v>3</v>
      </c>
      <c r="C24" s="7" t="s">
        <v>0</v>
      </c>
      <c r="D24" s="4">
        <f>(0.078+0.07)/2</f>
        <v>7.400000000000001E-2</v>
      </c>
      <c r="E24" s="4" t="s">
        <v>0</v>
      </c>
      <c r="F24" s="4">
        <f>(0.1+0.086)/2</f>
        <v>9.2999999999999999E-2</v>
      </c>
      <c r="G24" s="4" t="s">
        <v>0</v>
      </c>
      <c r="H24" s="4">
        <f>(0.064+0.071)/2</f>
        <v>6.7500000000000004E-2</v>
      </c>
      <c r="I24" s="4" t="s">
        <v>0</v>
      </c>
      <c r="J24" s="4" t="s">
        <v>0</v>
      </c>
      <c r="K24" s="5">
        <f>(0.409+0.441)/2</f>
        <v>0.42499999999999999</v>
      </c>
      <c r="L24" s="4" t="s">
        <v>0</v>
      </c>
      <c r="M24" s="5">
        <f>(0.518+0.537)/2</f>
        <v>0.52750000000000008</v>
      </c>
      <c r="N24" s="4" t="s">
        <v>0</v>
      </c>
      <c r="O24" s="5">
        <f>(1.206+1.183)/2</f>
        <v>1.1945000000000001</v>
      </c>
      <c r="P24" s="5">
        <f>(1.131+0.855)/2</f>
        <v>0.99299999999999999</v>
      </c>
      <c r="Q24" s="5">
        <f>(0.691+0.808)/2</f>
        <v>0.74950000000000006</v>
      </c>
      <c r="R24" s="6" t="s">
        <v>0</v>
      </c>
      <c r="S24" s="5">
        <v>2.5</v>
      </c>
      <c r="T24" s="10" t="s">
        <v>0</v>
      </c>
    </row>
    <row r="25" spans="1:20" x14ac:dyDescent="0.25">
      <c r="A25" s="1"/>
      <c r="B25" s="7" t="s">
        <v>4</v>
      </c>
      <c r="C25" s="7" t="s">
        <v>0</v>
      </c>
      <c r="D25" s="4">
        <f>(0.073+0.066)/2</f>
        <v>6.9500000000000006E-2</v>
      </c>
      <c r="E25" s="4" t="s">
        <v>0</v>
      </c>
      <c r="F25" s="4">
        <f>(0.09+0.081)/2</f>
        <v>8.5499999999999993E-2</v>
      </c>
      <c r="G25" s="4" t="s">
        <v>0</v>
      </c>
      <c r="H25" s="4">
        <f>(0.066+0.065)/2</f>
        <v>6.5500000000000003E-2</v>
      </c>
      <c r="I25" s="4" t="s">
        <v>0</v>
      </c>
      <c r="J25" s="4" t="s">
        <v>0</v>
      </c>
      <c r="K25" s="6">
        <f>(0.0662+0.061)/2</f>
        <v>6.359999999999999E-2</v>
      </c>
      <c r="L25" s="4" t="s">
        <v>0</v>
      </c>
      <c r="M25" s="4">
        <f>(0.124+0.133)/2</f>
        <v>0.1285</v>
      </c>
      <c r="N25" s="4" t="s">
        <v>0</v>
      </c>
      <c r="O25" s="4">
        <f>(0.068+0.072)/2</f>
        <v>7.0000000000000007E-2</v>
      </c>
      <c r="P25" s="4">
        <f>(0.099+0.104)/2</f>
        <v>0.10150000000000001</v>
      </c>
      <c r="Q25" s="4">
        <f>(0.06+0.069)/2</f>
        <v>6.4500000000000002E-2</v>
      </c>
      <c r="R25" s="6" t="s">
        <v>0</v>
      </c>
      <c r="S25" s="5">
        <v>0.47899999999999998</v>
      </c>
      <c r="T25" s="10" t="s">
        <v>0</v>
      </c>
    </row>
    <row r="26" spans="1:20" x14ac:dyDescent="0.25">
      <c r="A26" s="1"/>
      <c r="B26" s="7" t="s">
        <v>4</v>
      </c>
      <c r="C26" s="7" t="s">
        <v>0</v>
      </c>
      <c r="D26" s="4">
        <f>(0.07+0.067)/2</f>
        <v>6.8500000000000005E-2</v>
      </c>
      <c r="E26" s="4" t="s">
        <v>0</v>
      </c>
      <c r="F26" s="4">
        <f>(0.095+0.089)/2</f>
        <v>9.1999999999999998E-2</v>
      </c>
      <c r="G26" s="4" t="s">
        <v>0</v>
      </c>
      <c r="H26" s="4">
        <f>(0.074+0.063)/2</f>
        <v>6.8500000000000005E-2</v>
      </c>
      <c r="I26" s="4" t="s">
        <v>0</v>
      </c>
      <c r="J26" s="4" t="s">
        <v>0</v>
      </c>
      <c r="K26" s="6">
        <f>(0.057+0.064)/2</f>
        <v>6.0499999999999998E-2</v>
      </c>
      <c r="L26" s="4" t="s">
        <v>0</v>
      </c>
      <c r="M26" s="4">
        <f>(0.127+0.113)/2</f>
        <v>0.12</v>
      </c>
      <c r="N26" s="4" t="s">
        <v>0</v>
      </c>
      <c r="O26" s="4">
        <f>(0.075+0.063)/2</f>
        <v>6.9000000000000006E-2</v>
      </c>
      <c r="P26" s="4">
        <f>(0.119+0.117)/2</f>
        <v>0.11799999999999999</v>
      </c>
      <c r="Q26" s="4">
        <f>(0.203+0.166)/2</f>
        <v>0.1845</v>
      </c>
      <c r="R26" s="6" t="s">
        <v>0</v>
      </c>
      <c r="S26" s="5">
        <v>4.0609999999999999</v>
      </c>
      <c r="T26" s="10" t="s">
        <v>0</v>
      </c>
    </row>
    <row r="27" spans="1:20" x14ac:dyDescent="0.25">
      <c r="A27" s="1"/>
      <c r="B27" s="7" t="s">
        <v>4</v>
      </c>
      <c r="C27" s="7" t="s">
        <v>0</v>
      </c>
      <c r="D27" s="4">
        <f>(0.086+0.09)/2</f>
        <v>8.7999999999999995E-2</v>
      </c>
      <c r="E27" s="4" t="s">
        <v>0</v>
      </c>
      <c r="F27" s="4">
        <f>(0.111+0.083)/2</f>
        <v>9.7000000000000003E-2</v>
      </c>
      <c r="G27" s="4" t="s">
        <v>0</v>
      </c>
      <c r="H27" s="4">
        <f>(0.079+0.068)/2</f>
        <v>7.350000000000001E-2</v>
      </c>
      <c r="I27" s="4" t="s">
        <v>0</v>
      </c>
      <c r="J27" s="4" t="s">
        <v>0</v>
      </c>
      <c r="K27" s="6">
        <f>(0.066+0.068)/2</f>
        <v>6.7000000000000004E-2</v>
      </c>
      <c r="L27" s="4" t="s">
        <v>0</v>
      </c>
      <c r="M27" s="4">
        <f>(0.129+0.132)/2</f>
        <v>0.1305</v>
      </c>
      <c r="N27" s="4" t="s">
        <v>0</v>
      </c>
      <c r="O27" s="4">
        <f>(0.079+0.071)/2</f>
        <v>7.4999999999999997E-2</v>
      </c>
      <c r="P27" s="4">
        <f>(0.099+0.075)/2</f>
        <v>8.6999999999999994E-2</v>
      </c>
      <c r="Q27" s="4">
        <f>(0.065+0.072)/2</f>
        <v>6.8500000000000005E-2</v>
      </c>
      <c r="R27" s="6" t="s">
        <v>0</v>
      </c>
      <c r="S27" s="5">
        <v>3.6259999999999999</v>
      </c>
      <c r="T27" s="10" t="s">
        <v>0</v>
      </c>
    </row>
    <row r="28" spans="1:20" x14ac:dyDescent="0.25">
      <c r="A28" s="1" t="s">
        <v>9</v>
      </c>
      <c r="B28" s="7" t="s">
        <v>3</v>
      </c>
      <c r="C28" s="7" t="s">
        <v>0</v>
      </c>
      <c r="D28" s="4">
        <f>(0.058+0.066)/2</f>
        <v>6.2E-2</v>
      </c>
      <c r="E28" s="4" t="s">
        <v>0</v>
      </c>
      <c r="F28" s="4">
        <f>(0.062+0.08)/2</f>
        <v>7.1000000000000008E-2</v>
      </c>
      <c r="G28" s="4" t="s">
        <v>0</v>
      </c>
      <c r="H28" s="4">
        <f>(0.067+0.064)/2</f>
        <v>6.5500000000000003E-2</v>
      </c>
      <c r="I28" s="4" t="s">
        <v>0</v>
      </c>
      <c r="J28" s="4" t="s">
        <v>0</v>
      </c>
      <c r="K28" s="4">
        <f>(0.23+0.241)/2</f>
        <v>0.23549999999999999</v>
      </c>
      <c r="L28" s="4" t="s">
        <v>0</v>
      </c>
      <c r="M28" s="4">
        <f>(0.235+0.237)/2</f>
        <v>0.23599999999999999</v>
      </c>
      <c r="N28" s="4" t="s">
        <v>0</v>
      </c>
      <c r="O28" s="4">
        <f>(0.226+0.197)/2</f>
        <v>0.21150000000000002</v>
      </c>
      <c r="P28" s="5">
        <f>(0.379+0.428)/2</f>
        <v>0.40349999999999997</v>
      </c>
      <c r="Q28" s="5">
        <f>(0.432+0.41)/2</f>
        <v>0.42099999999999999</v>
      </c>
      <c r="R28" s="6" t="s">
        <v>0</v>
      </c>
      <c r="S28" s="5">
        <v>1.157</v>
      </c>
      <c r="T28" s="10" t="s">
        <v>0</v>
      </c>
    </row>
    <row r="29" spans="1:20" x14ac:dyDescent="0.25">
      <c r="A29" s="1"/>
      <c r="B29" s="7" t="s">
        <v>3</v>
      </c>
      <c r="C29" s="7" t="s">
        <v>0</v>
      </c>
      <c r="D29" s="4">
        <f>(0.077+0.063)/2</f>
        <v>7.0000000000000007E-2</v>
      </c>
      <c r="E29" s="4" t="s">
        <v>0</v>
      </c>
      <c r="F29" s="4">
        <f>(0.068+0.07)/2</f>
        <v>6.9000000000000006E-2</v>
      </c>
      <c r="G29" s="4" t="s">
        <v>0</v>
      </c>
      <c r="H29" s="4">
        <f>(0.07+0.06)/2</f>
        <v>6.5000000000000002E-2</v>
      </c>
      <c r="I29" s="4" t="s">
        <v>0</v>
      </c>
      <c r="J29" s="4" t="s">
        <v>0</v>
      </c>
      <c r="K29" s="4">
        <f>(0.261+0.259)/2</f>
        <v>0.26</v>
      </c>
      <c r="L29" s="4" t="s">
        <v>0</v>
      </c>
      <c r="M29" s="4">
        <f>(0.344+0.295)/2</f>
        <v>0.31950000000000001</v>
      </c>
      <c r="N29" s="4" t="s">
        <v>0</v>
      </c>
      <c r="O29" s="4">
        <f>(0.238+0.266)/2</f>
        <v>0.252</v>
      </c>
      <c r="P29" s="5">
        <f>(0.465+0.431)/2</f>
        <v>0.44800000000000001</v>
      </c>
      <c r="Q29" s="5">
        <f>(0.561+0.607)/2</f>
        <v>0.58400000000000007</v>
      </c>
      <c r="R29" s="6" t="s">
        <v>0</v>
      </c>
      <c r="S29" s="5">
        <v>1.2410000000000001</v>
      </c>
      <c r="T29" s="10" t="s">
        <v>0</v>
      </c>
    </row>
    <row r="30" spans="1:20" x14ac:dyDescent="0.25">
      <c r="A30" s="1"/>
      <c r="B30" s="7" t="s">
        <v>3</v>
      </c>
      <c r="C30" s="7" t="s">
        <v>0</v>
      </c>
      <c r="D30" s="4">
        <f>(0.076+0.065)/2</f>
        <v>7.0500000000000007E-2</v>
      </c>
      <c r="E30" s="4" t="s">
        <v>0</v>
      </c>
      <c r="F30" s="4">
        <f>(0.082+0.088)/2</f>
        <v>8.4999999999999992E-2</v>
      </c>
      <c r="G30" s="4" t="s">
        <v>0</v>
      </c>
      <c r="H30" s="4">
        <f>(0.071+0.072)/2</f>
        <v>7.1499999999999994E-2</v>
      </c>
      <c r="I30" s="4" t="s">
        <v>0</v>
      </c>
      <c r="J30" s="4" t="s">
        <v>0</v>
      </c>
      <c r="K30" s="5">
        <f>(1.262+1.306)/2</f>
        <v>1.284</v>
      </c>
      <c r="L30" s="4" t="s">
        <v>0</v>
      </c>
      <c r="M30" s="5">
        <f>(0.768+1.139)/2</f>
        <v>0.95350000000000001</v>
      </c>
      <c r="N30" s="4" t="s">
        <v>0</v>
      </c>
      <c r="O30" s="5">
        <f>(1.51+1.443)/2</f>
        <v>1.4765000000000001</v>
      </c>
      <c r="P30" s="5">
        <f>(2.945+2.511)/2</f>
        <v>2.7279999999999998</v>
      </c>
      <c r="Q30" s="5">
        <f>(1.887+1.74)/2</f>
        <v>1.8134999999999999</v>
      </c>
      <c r="R30" s="6" t="s">
        <v>0</v>
      </c>
      <c r="S30" s="5">
        <v>4.056</v>
      </c>
      <c r="T30" s="10" t="s">
        <v>0</v>
      </c>
    </row>
    <row r="31" spans="1:20" x14ac:dyDescent="0.25">
      <c r="A31" s="1"/>
      <c r="B31" s="7" t="s">
        <v>4</v>
      </c>
      <c r="C31" s="7" t="s">
        <v>0</v>
      </c>
      <c r="D31" s="4">
        <f>(0.067+0.083)/2</f>
        <v>7.5000000000000011E-2</v>
      </c>
      <c r="E31" s="4" t="s">
        <v>0</v>
      </c>
      <c r="F31" s="4">
        <f>(0.087+0.08)/2</f>
        <v>8.3499999999999991E-2</v>
      </c>
      <c r="G31" s="4" t="s">
        <v>0</v>
      </c>
      <c r="H31" s="4">
        <f>(0.065+0.06)/2</f>
        <v>6.25E-2</v>
      </c>
      <c r="I31" s="4" t="s">
        <v>0</v>
      </c>
      <c r="J31" s="4" t="s">
        <v>0</v>
      </c>
      <c r="K31" s="6">
        <f>(0.066+0.076)/2</f>
        <v>7.1000000000000008E-2</v>
      </c>
      <c r="L31" s="4" t="s">
        <v>0</v>
      </c>
      <c r="M31" s="5">
        <f>(0.936+0.941)/2</f>
        <v>0.9385</v>
      </c>
      <c r="N31" s="4" t="s">
        <v>0</v>
      </c>
      <c r="O31" s="5">
        <f>(0.433+0.465)/2</f>
        <v>0.44900000000000001</v>
      </c>
      <c r="P31" s="5">
        <f>(0.243+0.255)/2</f>
        <v>0.249</v>
      </c>
      <c r="Q31" s="6">
        <f>(0.184+0.208)/2</f>
        <v>0.19600000000000001</v>
      </c>
      <c r="R31" s="6" t="s">
        <v>0</v>
      </c>
      <c r="S31" s="5">
        <v>0.93500000000000005</v>
      </c>
      <c r="T31" s="10" t="s">
        <v>0</v>
      </c>
    </row>
    <row r="32" spans="1:20" x14ac:dyDescent="0.25">
      <c r="A32" s="1"/>
      <c r="B32" s="7" t="s">
        <v>4</v>
      </c>
      <c r="C32" s="7" t="s">
        <v>0</v>
      </c>
      <c r="D32" s="4">
        <f>(0.073+0.071)/2</f>
        <v>7.1999999999999995E-2</v>
      </c>
      <c r="E32" s="4" t="s">
        <v>0</v>
      </c>
      <c r="F32" s="4">
        <f>(0.083+0.081)/2</f>
        <v>8.2000000000000003E-2</v>
      </c>
      <c r="G32" s="4" t="s">
        <v>0</v>
      </c>
      <c r="H32" s="4">
        <f>(0.063+0.053)/2</f>
        <v>5.7999999999999996E-2</v>
      </c>
      <c r="I32" s="4" t="s">
        <v>0</v>
      </c>
      <c r="J32" s="4" t="s">
        <v>0</v>
      </c>
      <c r="K32" s="6">
        <f>(0.089+0.066)/2</f>
        <v>7.7499999999999999E-2</v>
      </c>
      <c r="L32" s="4" t="s">
        <v>0</v>
      </c>
      <c r="M32" s="4">
        <f>(0.131+0.14)/2</f>
        <v>0.13550000000000001</v>
      </c>
      <c r="N32" s="4" t="s">
        <v>0</v>
      </c>
      <c r="O32" s="4">
        <f>(0.068+0.072)/2</f>
        <v>7.0000000000000007E-2</v>
      </c>
      <c r="P32" s="4">
        <f>(0.074+0.073)/2</f>
        <v>7.3499999999999996E-2</v>
      </c>
      <c r="Q32" s="4">
        <f>(0.065+0.067)/2</f>
        <v>6.6000000000000003E-2</v>
      </c>
      <c r="R32" s="6" t="s">
        <v>0</v>
      </c>
      <c r="S32" s="4">
        <v>0.35499999999999998</v>
      </c>
      <c r="T32" s="10" t="s">
        <v>0</v>
      </c>
    </row>
    <row r="33" spans="1:20" x14ac:dyDescent="0.25">
      <c r="A33" s="1"/>
      <c r="B33" s="7" t="s">
        <v>4</v>
      </c>
      <c r="C33" s="7" t="s">
        <v>0</v>
      </c>
      <c r="D33" s="4">
        <f>(0.071+0.071)/2</f>
        <v>7.0999999999999994E-2</v>
      </c>
      <c r="E33" s="4" t="s">
        <v>0</v>
      </c>
      <c r="F33" s="4">
        <f>(0.087+0.073)/2</f>
        <v>7.9999999999999988E-2</v>
      </c>
      <c r="G33" s="4" t="s">
        <v>0</v>
      </c>
      <c r="H33" s="4">
        <f>(0.065+0.056)/2</f>
        <v>6.0499999999999998E-2</v>
      </c>
      <c r="I33" s="4" t="s">
        <v>0</v>
      </c>
      <c r="J33" s="4" t="s">
        <v>0</v>
      </c>
      <c r="K33" s="6">
        <f>(0.072+0.06)/2</f>
        <v>6.6000000000000003E-2</v>
      </c>
      <c r="L33" s="4" t="s">
        <v>0</v>
      </c>
      <c r="M33" s="4">
        <f>(0.122+0.112)</f>
        <v>0.23399999999999999</v>
      </c>
      <c r="N33" s="4" t="s">
        <v>0</v>
      </c>
      <c r="O33" s="4">
        <f>(0.075+0.063)/2</f>
        <v>6.9000000000000006E-2</v>
      </c>
      <c r="P33" s="4">
        <f>(0.071+0.053)/2</f>
        <v>6.2E-2</v>
      </c>
      <c r="Q33" s="4">
        <f>(0.069+0.05)/2</f>
        <v>5.9500000000000004E-2</v>
      </c>
      <c r="R33" s="6" t="s">
        <v>0</v>
      </c>
      <c r="S33" s="5">
        <v>1.044</v>
      </c>
      <c r="T33" s="10" t="s">
        <v>0</v>
      </c>
    </row>
    <row r="34" spans="1:20" x14ac:dyDescent="0.25">
      <c r="A34" s="1" t="s">
        <v>6</v>
      </c>
      <c r="B34" s="7" t="s">
        <v>3</v>
      </c>
      <c r="C34" s="4">
        <f>(0.073+0.063)/2</f>
        <v>6.8000000000000005E-2</v>
      </c>
      <c r="D34" s="4" t="s">
        <v>0</v>
      </c>
      <c r="E34" s="4">
        <f>(0.062+0.054)/2</f>
        <v>5.7999999999999996E-2</v>
      </c>
      <c r="F34" s="4" t="s">
        <v>0</v>
      </c>
      <c r="G34" s="4">
        <f>(0.061+0.054)/2</f>
        <v>5.7499999999999996E-2</v>
      </c>
      <c r="H34" s="4" t="s">
        <v>0</v>
      </c>
      <c r="I34" s="4">
        <f>(0.085+0.081)/2</f>
        <v>8.3000000000000004E-2</v>
      </c>
      <c r="J34" s="4">
        <f>(0.059+0.056)/2</f>
        <v>5.7499999999999996E-2</v>
      </c>
      <c r="K34" s="6" t="s">
        <v>0</v>
      </c>
      <c r="L34" s="4">
        <f>(0.284+0.267)/2</f>
        <v>0.27549999999999997</v>
      </c>
      <c r="M34" s="4" t="s">
        <v>0</v>
      </c>
      <c r="N34" s="4">
        <f>(0.192+0.216)/2</f>
        <v>0.20400000000000001</v>
      </c>
      <c r="O34" s="6">
        <f>(0.17+0.188)/2</f>
        <v>0.17899999999999999</v>
      </c>
      <c r="P34" s="6">
        <f>(0.127+0.134)/2</f>
        <v>0.1305</v>
      </c>
      <c r="Q34" s="4" t="s">
        <v>0</v>
      </c>
      <c r="R34" s="4">
        <f>(0.152+0.14)/2</f>
        <v>0.14600000000000002</v>
      </c>
      <c r="S34" s="6" t="s">
        <v>0</v>
      </c>
      <c r="T34" s="4">
        <f>(0.141+0.138)/2</f>
        <v>0.13950000000000001</v>
      </c>
    </row>
    <row r="35" spans="1:20" x14ac:dyDescent="0.25">
      <c r="A35" s="1"/>
      <c r="B35" s="7" t="s">
        <v>3</v>
      </c>
      <c r="C35" s="4">
        <f>(0.061+0.075)/2</f>
        <v>6.8000000000000005E-2</v>
      </c>
      <c r="D35" s="4" t="s">
        <v>0</v>
      </c>
      <c r="E35" s="4">
        <f>(0.052+0.064)/2</f>
        <v>5.7999999999999996E-2</v>
      </c>
      <c r="F35" s="4" t="s">
        <v>0</v>
      </c>
      <c r="G35" s="4">
        <f>(0.053+0.06)/2</f>
        <v>5.6499999999999995E-2</v>
      </c>
      <c r="H35" s="4" t="s">
        <v>0</v>
      </c>
      <c r="I35" s="4">
        <f>(0.083+0.094)/2</f>
        <v>8.8499999999999995E-2</v>
      </c>
      <c r="J35" s="4">
        <f>(0.057+0.07)/2</f>
        <v>6.3500000000000001E-2</v>
      </c>
      <c r="K35" s="6" t="s">
        <v>0</v>
      </c>
      <c r="L35" s="4">
        <f>(0.068+0.081)/2</f>
        <v>7.4500000000000011E-2</v>
      </c>
      <c r="M35" s="4" t="s">
        <v>0</v>
      </c>
      <c r="N35" s="4">
        <f>(0.188+0.187)/2</f>
        <v>0.1875</v>
      </c>
      <c r="O35" s="4">
        <f>(0.3+0.259)/2</f>
        <v>0.27949999999999997</v>
      </c>
      <c r="P35" s="5">
        <f>(0.453+0.382)/2</f>
        <v>0.41749999999999998</v>
      </c>
      <c r="Q35" s="4" t="s">
        <v>0</v>
      </c>
      <c r="R35" s="5">
        <f>(0.622+0.614)/2</f>
        <v>0.61799999999999999</v>
      </c>
      <c r="S35" s="6" t="s">
        <v>0</v>
      </c>
      <c r="T35" s="5">
        <f>(0.805+0.807)/2</f>
        <v>0.80600000000000005</v>
      </c>
    </row>
    <row r="36" spans="1:20" x14ac:dyDescent="0.25">
      <c r="A36" s="1"/>
      <c r="B36" s="7" t="s">
        <v>3</v>
      </c>
      <c r="C36" s="4">
        <f>(0.079+0.061)/2</f>
        <v>7.0000000000000007E-2</v>
      </c>
      <c r="D36" s="4" t="s">
        <v>0</v>
      </c>
      <c r="E36" s="4">
        <f>(0.076+0.055)/2</f>
        <v>6.5500000000000003E-2</v>
      </c>
      <c r="F36" s="4" t="s">
        <v>0</v>
      </c>
      <c r="G36" s="4">
        <f>(0.069+0.057)/2</f>
        <v>6.3E-2</v>
      </c>
      <c r="H36" s="4" t="s">
        <v>0</v>
      </c>
      <c r="I36" s="4">
        <f>(0.1+0.081)/2</f>
        <v>9.0499999999999997E-2</v>
      </c>
      <c r="J36" s="4">
        <f>(0.11+0.087)/2</f>
        <v>9.8500000000000004E-2</v>
      </c>
      <c r="K36" s="6" t="s">
        <v>0</v>
      </c>
      <c r="L36" s="4">
        <f>(0.118+0.105)/2</f>
        <v>0.11149999999999999</v>
      </c>
      <c r="M36" s="4" t="s">
        <v>0</v>
      </c>
      <c r="N36" s="4">
        <f>(0.159+0.153)/2</f>
        <v>0.156</v>
      </c>
      <c r="O36" s="4">
        <f>(0.178+0.186)/2</f>
        <v>0.182</v>
      </c>
      <c r="P36" s="4">
        <f>(0.219+0.262)/2</f>
        <v>0.24049999999999999</v>
      </c>
      <c r="Q36" s="4" t="s">
        <v>0</v>
      </c>
      <c r="R36" s="4">
        <f>(0.309+0.289)/2</f>
        <v>0.29899999999999999</v>
      </c>
      <c r="S36" s="6" t="s">
        <v>0</v>
      </c>
      <c r="T36" s="4">
        <f>(0.307+0.297)/2</f>
        <v>0.30199999999999999</v>
      </c>
    </row>
    <row r="37" spans="1:20" x14ac:dyDescent="0.25">
      <c r="A37" s="1"/>
      <c r="B37" s="7" t="s">
        <v>4</v>
      </c>
      <c r="C37" s="4">
        <f>(0.085+0.071)/2</f>
        <v>7.8E-2</v>
      </c>
      <c r="D37" s="4" t="s">
        <v>0</v>
      </c>
      <c r="E37" s="4">
        <f>(0.073+0.059)/2</f>
        <v>6.6000000000000003E-2</v>
      </c>
      <c r="F37" s="4" t="s">
        <v>0</v>
      </c>
      <c r="G37" s="4">
        <f>(0.062+0.054)/2</f>
        <v>5.7999999999999996E-2</v>
      </c>
      <c r="H37" s="4" t="s">
        <v>0</v>
      </c>
      <c r="I37" s="4">
        <f>(0.097+0.073)/2</f>
        <v>8.4999999999999992E-2</v>
      </c>
      <c r="J37" s="4">
        <f>(0.058+0.053)/2</f>
        <v>5.5500000000000001E-2</v>
      </c>
      <c r="K37" s="6" t="s">
        <v>0</v>
      </c>
      <c r="L37" s="4">
        <f>(0.061+0.053)/2</f>
        <v>5.6999999999999995E-2</v>
      </c>
      <c r="M37" s="4" t="s">
        <v>0</v>
      </c>
      <c r="N37" s="4">
        <f>(0.084+0.075)/2</f>
        <v>7.9500000000000001E-2</v>
      </c>
      <c r="O37" s="4">
        <f>(0.071+0.067)/2</f>
        <v>6.9000000000000006E-2</v>
      </c>
      <c r="P37" s="4">
        <f>(0.09+0.084)/2</f>
        <v>8.6999999999999994E-2</v>
      </c>
      <c r="Q37" s="4" t="s">
        <v>0</v>
      </c>
      <c r="R37" s="4">
        <f>(0.086+0.13)/2</f>
        <v>0.108</v>
      </c>
      <c r="S37" s="6" t="s">
        <v>0</v>
      </c>
      <c r="T37" s="4">
        <f>(0.083+0.077)/2</f>
        <v>0.08</v>
      </c>
    </row>
    <row r="38" spans="1:20" x14ac:dyDescent="0.25">
      <c r="A38" s="1"/>
      <c r="B38" s="7" t="s">
        <v>4</v>
      </c>
      <c r="C38" s="4">
        <f>(0.079+0.066)/2</f>
        <v>7.2500000000000009E-2</v>
      </c>
      <c r="D38" s="4" t="s">
        <v>0</v>
      </c>
      <c r="E38" s="4">
        <f>(0.064+0.056)/2</f>
        <v>0.06</v>
      </c>
      <c r="F38" s="4" t="s">
        <v>0</v>
      </c>
      <c r="G38" s="4">
        <f>(0.062+0.059)/2</f>
        <v>6.0499999999999998E-2</v>
      </c>
      <c r="H38" s="4" t="s">
        <v>0</v>
      </c>
      <c r="I38" s="4">
        <f>(0.089+0.08)/2</f>
        <v>8.4499999999999992E-2</v>
      </c>
      <c r="J38" s="4">
        <f>(0.056+0.05)/2</f>
        <v>5.3000000000000005E-2</v>
      </c>
      <c r="K38" s="6" t="s">
        <v>0</v>
      </c>
      <c r="L38" s="4">
        <f>(0.058+0.056)/2</f>
        <v>5.7000000000000002E-2</v>
      </c>
      <c r="M38" s="4" t="s">
        <v>0</v>
      </c>
      <c r="N38" s="4">
        <f>(0.082+0.076)/2</f>
        <v>7.9000000000000001E-2</v>
      </c>
      <c r="O38" s="4">
        <f>(0.058+0.056)/2</f>
        <v>5.7000000000000002E-2</v>
      </c>
      <c r="P38" s="4">
        <f>(0.072+0.079)/2</f>
        <v>7.5499999999999998E-2</v>
      </c>
      <c r="Q38" s="4" t="s">
        <v>0</v>
      </c>
      <c r="R38" s="4">
        <f>(0.092+0.074)/2</f>
        <v>8.299999999999999E-2</v>
      </c>
      <c r="S38" s="6" t="s">
        <v>0</v>
      </c>
      <c r="T38" s="4">
        <f>(0.075+0.075)/2</f>
        <v>7.4999999999999997E-2</v>
      </c>
    </row>
    <row r="39" spans="1:20" x14ac:dyDescent="0.25">
      <c r="A39" s="1"/>
      <c r="B39" s="7" t="s">
        <v>4</v>
      </c>
      <c r="C39" s="4">
        <f>(0.062+0.084)/2</f>
        <v>7.3000000000000009E-2</v>
      </c>
      <c r="D39" s="4" t="s">
        <v>0</v>
      </c>
      <c r="E39" s="4">
        <f>(0.06+0.062)/2</f>
        <v>6.0999999999999999E-2</v>
      </c>
      <c r="F39" s="4" t="s">
        <v>0</v>
      </c>
      <c r="G39" s="4">
        <f>(0.046+0.059)/2</f>
        <v>5.2499999999999998E-2</v>
      </c>
      <c r="H39" s="4" t="s">
        <v>0</v>
      </c>
      <c r="I39" s="4">
        <f>(0.082+0.091)/2</f>
        <v>8.6499999999999994E-2</v>
      </c>
      <c r="J39" s="4">
        <f>(0.05+0.057)/2</f>
        <v>5.3500000000000006E-2</v>
      </c>
      <c r="K39" s="6" t="s">
        <v>0</v>
      </c>
      <c r="L39" s="4">
        <f>(0.05+0.061)/2</f>
        <v>5.5500000000000001E-2</v>
      </c>
      <c r="M39" s="4" t="s">
        <v>0</v>
      </c>
      <c r="N39" s="4">
        <f>(0.083+0.067)/2</f>
        <v>7.5000000000000011E-2</v>
      </c>
      <c r="O39" s="4">
        <f>(0.07+0.059)/2</f>
        <v>6.4500000000000002E-2</v>
      </c>
      <c r="P39" s="4">
        <f>(0.084+0.077)/2</f>
        <v>8.0500000000000002E-2</v>
      </c>
      <c r="Q39" s="4" t="s">
        <v>0</v>
      </c>
      <c r="R39" s="4">
        <f>(0.059+0.238)/2</f>
        <v>0.14849999999999999</v>
      </c>
      <c r="S39" s="6" t="s">
        <v>0</v>
      </c>
      <c r="T39" s="4">
        <f>(0.06+0.066)/2</f>
        <v>6.3E-2</v>
      </c>
    </row>
    <row r="40" spans="1:20" x14ac:dyDescent="0.25">
      <c r="A40" s="1" t="s">
        <v>8</v>
      </c>
      <c r="B40" s="7" t="s">
        <v>3</v>
      </c>
      <c r="C40" s="4">
        <f>(0.082+0.06)/2</f>
        <v>7.1000000000000008E-2</v>
      </c>
      <c r="D40" s="4" t="s">
        <v>0</v>
      </c>
      <c r="E40" s="4">
        <f>(0.075+0.059)/2</f>
        <v>6.7000000000000004E-2</v>
      </c>
      <c r="F40" s="4" t="s">
        <v>0</v>
      </c>
      <c r="G40" s="4">
        <f>(0.079+0.058)/2</f>
        <v>6.8500000000000005E-2</v>
      </c>
      <c r="H40" s="4" t="s">
        <v>0</v>
      </c>
      <c r="I40" s="4">
        <f>(0.105+0.084)/2</f>
        <v>9.4500000000000001E-2</v>
      </c>
      <c r="J40" s="4">
        <f>(0.062+0.051)/2</f>
        <v>5.6499999999999995E-2</v>
      </c>
      <c r="K40" s="6" t="s">
        <v>0</v>
      </c>
      <c r="L40" s="4">
        <f>(0.115+0.095)/2</f>
        <v>0.10500000000000001</v>
      </c>
      <c r="M40" s="4" t="s">
        <v>0</v>
      </c>
      <c r="N40" s="5">
        <f>(0.468+0.332)/2</f>
        <v>0.4</v>
      </c>
      <c r="O40" s="5">
        <f>(0.372+0.433)/2</f>
        <v>0.40249999999999997</v>
      </c>
      <c r="P40" s="6">
        <f>(0.154+0.139)/2</f>
        <v>0.14650000000000002</v>
      </c>
      <c r="Q40" s="4" t="s">
        <v>0</v>
      </c>
      <c r="R40" s="4">
        <f>(0.169+0.15)/2</f>
        <v>0.1595</v>
      </c>
      <c r="S40" s="6" t="s">
        <v>0</v>
      </c>
      <c r="T40" s="4">
        <f>(0.17+0.149)/2</f>
        <v>0.1595</v>
      </c>
    </row>
    <row r="41" spans="1:20" x14ac:dyDescent="0.25">
      <c r="A41" s="1"/>
      <c r="B41" s="7" t="s">
        <v>3</v>
      </c>
      <c r="C41" s="4">
        <f>(0.09+0.07)/2</f>
        <v>0.08</v>
      </c>
      <c r="D41" s="4" t="s">
        <v>0</v>
      </c>
      <c r="E41" s="4">
        <f>(0.078+0.061)/2</f>
        <v>6.9500000000000006E-2</v>
      </c>
      <c r="F41" s="4" t="s">
        <v>0</v>
      </c>
      <c r="G41" s="4">
        <f>(0.066+0.056)/2</f>
        <v>6.0999999999999999E-2</v>
      </c>
      <c r="H41" s="4" t="s">
        <v>0</v>
      </c>
      <c r="I41" s="4">
        <f>(0.092+0.083)/2</f>
        <v>8.7499999999999994E-2</v>
      </c>
      <c r="J41" s="4">
        <f>(0.107+0.112)/2</f>
        <v>0.1095</v>
      </c>
      <c r="K41" s="6" t="s">
        <v>0</v>
      </c>
      <c r="L41" s="4">
        <f>(0.223+0.218)/2</f>
        <v>0.2205</v>
      </c>
      <c r="M41" s="4" t="s">
        <v>0</v>
      </c>
      <c r="N41" s="4">
        <f>(0.192+0.177)/2</f>
        <v>0.1845</v>
      </c>
      <c r="O41" s="4">
        <f>(0.187+0.168)/2</f>
        <v>0.17749999999999999</v>
      </c>
      <c r="P41" s="4">
        <f>(0.243+0.218)/2</f>
        <v>0.23049999999999998</v>
      </c>
      <c r="Q41" s="4" t="s">
        <v>0</v>
      </c>
      <c r="R41" s="4">
        <f>(0.348+0.349)/2</f>
        <v>0.34849999999999998</v>
      </c>
      <c r="S41" s="6" t="s">
        <v>0</v>
      </c>
      <c r="T41" s="4">
        <f>(0.328+0.293)/2</f>
        <v>0.3105</v>
      </c>
    </row>
    <row r="42" spans="1:20" x14ac:dyDescent="0.25">
      <c r="A42" s="1"/>
      <c r="B42" s="7" t="s">
        <v>3</v>
      </c>
      <c r="C42" s="4">
        <f>(0.075+0.075)/2</f>
        <v>7.4999999999999997E-2</v>
      </c>
      <c r="D42" s="4" t="s">
        <v>0</v>
      </c>
      <c r="E42" s="4">
        <f>(0.065+0.054)/2</f>
        <v>5.9499999999999997E-2</v>
      </c>
      <c r="F42" s="4" t="s">
        <v>0</v>
      </c>
      <c r="G42" s="4">
        <f>(0.063+0.056)/2</f>
        <v>5.9499999999999997E-2</v>
      </c>
      <c r="H42" s="4" t="s">
        <v>0</v>
      </c>
      <c r="I42" s="4">
        <f>(0.093+0.08)/2</f>
        <v>8.6499999999999994E-2</v>
      </c>
      <c r="J42" s="4">
        <f>(0.095+0.09)/2</f>
        <v>9.2499999999999999E-2</v>
      </c>
      <c r="K42" s="6" t="s">
        <v>0</v>
      </c>
      <c r="L42" s="4">
        <f>(0.168+0.16)/2</f>
        <v>0.16400000000000001</v>
      </c>
      <c r="M42" s="4" t="s">
        <v>0</v>
      </c>
      <c r="N42" s="4">
        <f>(0.236+0.271)/2</f>
        <v>0.2535</v>
      </c>
      <c r="O42" s="4">
        <f>(0.18+0.222)/2</f>
        <v>0.20100000000000001</v>
      </c>
      <c r="P42" s="4">
        <f>(0.242+0.213)/2</f>
        <v>0.22749999999999998</v>
      </c>
      <c r="Q42" s="4" t="s">
        <v>0</v>
      </c>
      <c r="R42" s="5">
        <f>(0.375+0.363)/2</f>
        <v>0.36899999999999999</v>
      </c>
      <c r="S42" s="6" t="s">
        <v>0</v>
      </c>
      <c r="T42" s="4">
        <f>(0.286+0.273)/2</f>
        <v>0.27949999999999997</v>
      </c>
    </row>
    <row r="43" spans="1:20" x14ac:dyDescent="0.25">
      <c r="A43" s="1"/>
      <c r="B43" s="7" t="s">
        <v>4</v>
      </c>
      <c r="C43" s="4">
        <f>(0.077+0.055)/2</f>
        <v>6.6000000000000003E-2</v>
      </c>
      <c r="D43" s="4" t="s">
        <v>0</v>
      </c>
      <c r="E43" s="4">
        <f>(0.074+0.056)/2</f>
        <v>6.5000000000000002E-2</v>
      </c>
      <c r="F43" s="4" t="s">
        <v>0</v>
      </c>
      <c r="G43" s="4">
        <f>(0.073+0.057)/2</f>
        <v>6.5000000000000002E-2</v>
      </c>
      <c r="H43" s="4" t="s">
        <v>0</v>
      </c>
      <c r="I43" s="4">
        <f>(0.102+0.078)/2</f>
        <v>0.09</v>
      </c>
      <c r="J43" s="4">
        <f>(0.066+0.052)/2</f>
        <v>5.8999999999999997E-2</v>
      </c>
      <c r="K43" s="6" t="s">
        <v>0</v>
      </c>
      <c r="L43" s="4">
        <f>(0.069+0.057)/2</f>
        <v>6.3E-2</v>
      </c>
      <c r="M43" s="4" t="s">
        <v>0</v>
      </c>
      <c r="N43" s="4">
        <f>(0.081+0.061)/2</f>
        <v>7.1000000000000008E-2</v>
      </c>
      <c r="O43" s="4">
        <f>(0.065+0.071)/2</f>
        <v>6.8000000000000005E-2</v>
      </c>
      <c r="P43" s="4">
        <f>(0.141+0.135)/2</f>
        <v>0.13800000000000001</v>
      </c>
      <c r="Q43" s="4" t="s">
        <v>0</v>
      </c>
      <c r="R43" s="5">
        <f>(1.233+1.002)/2</f>
        <v>1.1175000000000002</v>
      </c>
      <c r="S43" s="6" t="s">
        <v>0</v>
      </c>
      <c r="T43" s="5">
        <f>(0.579+0.544)/2</f>
        <v>0.5615</v>
      </c>
    </row>
    <row r="44" spans="1:20" x14ac:dyDescent="0.25">
      <c r="A44" s="1"/>
      <c r="B44" s="7" t="s">
        <v>4</v>
      </c>
      <c r="C44" s="4">
        <f>(0.081+0.069)/2</f>
        <v>7.5000000000000011E-2</v>
      </c>
      <c r="D44" s="4" t="s">
        <v>0</v>
      </c>
      <c r="E44" s="4">
        <f>(0.075+0.057)/2</f>
        <v>6.6000000000000003E-2</v>
      </c>
      <c r="F44" s="4" t="s">
        <v>0</v>
      </c>
      <c r="G44" s="4">
        <f>(0.053+0.054)/2</f>
        <v>5.3499999999999999E-2</v>
      </c>
      <c r="H44" s="4" t="s">
        <v>0</v>
      </c>
      <c r="I44" s="4">
        <f>(0.082+0.078)/2</f>
        <v>0.08</v>
      </c>
      <c r="J44" s="4">
        <f>(0.052+0.051)/2</f>
        <v>5.1499999999999997E-2</v>
      </c>
      <c r="K44" s="6" t="s">
        <v>0</v>
      </c>
      <c r="L44" s="4">
        <f>(0.057+0.053)/2</f>
        <v>5.5E-2</v>
      </c>
      <c r="M44" s="4" t="s">
        <v>0</v>
      </c>
      <c r="N44" s="4">
        <f>(0.079+0.07)/2</f>
        <v>7.4500000000000011E-2</v>
      </c>
      <c r="O44" s="4">
        <f>(0.076+0.061)/2</f>
        <v>6.8500000000000005E-2</v>
      </c>
      <c r="P44" s="4">
        <f>(0.124+0.121)/2</f>
        <v>0.1225</v>
      </c>
      <c r="Q44" s="4" t="s">
        <v>0</v>
      </c>
      <c r="R44" s="5">
        <f>(0.512+0.623)/2</f>
        <v>0.5675</v>
      </c>
      <c r="S44" s="6" t="s">
        <v>0</v>
      </c>
      <c r="T44" s="5">
        <f>(0.353+0.39)/2</f>
        <v>0.3715</v>
      </c>
    </row>
    <row r="45" spans="1:20" x14ac:dyDescent="0.25">
      <c r="A45" s="1"/>
      <c r="B45" s="7" t="s">
        <v>4</v>
      </c>
      <c r="C45" s="4">
        <f>(0.065+0.077)/2</f>
        <v>7.1000000000000008E-2</v>
      </c>
      <c r="D45" s="4" t="s">
        <v>0</v>
      </c>
      <c r="E45" s="4">
        <f>(0.055+0.065)/2</f>
        <v>0.06</v>
      </c>
      <c r="F45" s="4" t="s">
        <v>0</v>
      </c>
      <c r="G45" s="4">
        <f>(0.049+0.064)/2</f>
        <v>5.6500000000000002E-2</v>
      </c>
      <c r="H45" s="4" t="s">
        <v>0</v>
      </c>
      <c r="I45" s="4">
        <f>(0.078+0.088)/2</f>
        <v>8.299999999999999E-2</v>
      </c>
      <c r="J45" s="4">
        <f>(0.05+0.062)/2</f>
        <v>5.6000000000000001E-2</v>
      </c>
      <c r="K45" s="6" t="s">
        <v>0</v>
      </c>
      <c r="L45" s="4">
        <f>(0.052+0.06)/2</f>
        <v>5.5999999999999994E-2</v>
      </c>
      <c r="M45" s="4" t="s">
        <v>0</v>
      </c>
      <c r="N45" s="4">
        <f>(0.073+0.073)/2</f>
        <v>7.2999999999999995E-2</v>
      </c>
      <c r="O45" s="4">
        <f>(0.072+0.06)/2</f>
        <v>6.6000000000000003E-2</v>
      </c>
      <c r="P45" s="4">
        <f>(0.103+0.081)/2</f>
        <v>9.1999999999999998E-2</v>
      </c>
      <c r="Q45" s="4" t="s">
        <v>0</v>
      </c>
      <c r="R45" s="4">
        <f>(0.116+0.126)/2</f>
        <v>0.121</v>
      </c>
      <c r="S45" s="6" t="s">
        <v>0</v>
      </c>
      <c r="T45" s="4">
        <f>(0.129+0.096)/2</f>
        <v>0.1125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Additional file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2015-04-11T07:49:43Z</dcterms:modified>
</cp:coreProperties>
</file>